
<file path=[Content_Types].xml><?xml version="1.0" encoding="utf-8"?>
<Types xmlns="http://schemas.openxmlformats.org/package/2006/content-types">
  <Default Extension="rels" ContentType="application/vnd.openxmlformats-package.relationships+xml"/>
  <Default Extension="png" ContentType="image/png"/>
  <Default Extension="xml" ContentType="application/xml"/>
  <Override PartName="/xl/workbook.xml" ContentType="application/vnd.openxmlformats-officedocument.spreadsheetml.sheet.main+xml"/>
  <Override PartName="/xl/worksheets/sheet30.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0.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4000" windowHeight="14000" firstSheet="0" activeTab="0"/>
  </bookViews>
  <sheets>
    <sheet sheetId="30" name="Dashboard" state="visible" r:id="rId4"/>
    <sheet sheetId="1" name="Start Here" state="visible" r:id="rId5"/>
    <sheet sheetId="2" name="Setup" state="visible" r:id="rId6"/>
    <sheet sheetId="3" name="Vendors &amp; Real Cost" state="visible" r:id="rId7"/>
    <sheet sheetId="4" name="Contacts" state="visible" r:id="rId8"/>
    <sheet sheetId="6" name="Payment Schedule" state="visible" r:id="rId9"/>
    <sheet sheetId="5" name="Quote Tracker" state="visible" r:id="rId10"/>
    <sheet sheetId="7" name="Hidden Costs" state="visible" r:id="rId11"/>
    <sheet sheetId="8" name="Budget" state="visible" r:id="rId12"/>
    <sheet sheetId="9" name="Guest List" state="visible" r:id="rId13"/>
    <sheet sheetId="10" name="Seating Plan" state="visible" r:id="rId14"/>
    <sheet sheetId="18" name="Wedding Party" state="visible" r:id="rId15"/>
    <sheet sheetId="11" name="Checklist" state="visible" r:id="rId16"/>
    <sheet sheetId="12" name="Calendar" state="visible" r:id="rId17"/>
    <sheet sheetId="13" name="Itinerary" state="visible" r:id="rId18"/>
    <sheet sheetId="19" name="Menu &amp; Drinks" state="visible" r:id="rId19"/>
    <sheet sheetId="23" name="Music &amp; Moments" state="visible" r:id="rId20"/>
    <sheet sheetId="20" name="Attire &amp; Fittings" state="visible" r:id="rId21"/>
    <sheet sheetId="24" name="Beauty &amp; Wellness" state="visible" r:id="rId22"/>
    <sheet sheetId="21" name="Décor &amp; Flowers" state="visible" r:id="rId23"/>
    <sheet sheetId="22" name="Stationery &amp; Signage" state="visible" r:id="rId24"/>
    <sheet sheetId="14" name="Comparison" state="visible" r:id="rId25"/>
    <sheet sheetId="15" name="Photo Shot List" state="visible" r:id="rId26"/>
    <sheet sheetId="27" name="Vows &amp; Speeches" state="visible" r:id="rId27"/>
    <sheet sheetId="28" name="Emergency Kit" state="visible" r:id="rId28"/>
    <sheet sheetId="26" name="Rehearsal Dinner" state="visible" r:id="rId29"/>
    <sheet sheetId="25" name="Registry" state="visible" r:id="rId30"/>
    <sheet sheetId="16" name="Gifts &amp; Thank-yous" state="visible" r:id="rId31"/>
    <sheet sheetId="17" name="Honeymoon" state="visible" r:id="rId32"/>
    <sheet sheetId="29" name="Data" state="hidden" r:id="rId33"/>
  </sheets>
  <definedNames>
    <definedName name="_xlnm.Print_Area" localSheetId="4">'Contacts'!$B5:$H45</definedName>
    <definedName name="_xlnm.Print_Titles" localSheetId="4">'Contacts'!$5:$5</definedName>
    <definedName name="_xlnm.Print_Area" localSheetId="5">'Payment Schedule'!$B5:$H56</definedName>
    <definedName name="_xlnm.Print_Titles" localSheetId="5">'Payment Schedule'!$5:$5</definedName>
    <definedName name="_xlnm.Print_Area" localSheetId="7">'Hidden Costs'!$B5:$G28</definedName>
    <definedName name="_xlnm.Print_Titles" localSheetId="7">'Hidden Costs'!$5:$5</definedName>
    <definedName name="_xlnm.Print_Area" localSheetId="9">'Guest List'!$B5:$M205</definedName>
    <definedName name="_xlnm.Print_Titles" localSheetId="9">'Guest List'!$5:$5</definedName>
    <definedName name="_xlnm.Print_Area" localSheetId="11">'Wedding Party'!$B5:$K29</definedName>
    <definedName name="_xlnm.Print_Titles" localSheetId="11">'Wedding Party'!$5:$5</definedName>
    <definedName name="_xlnm.Print_Area" localSheetId="12">'Checklist'!$B5:$I51</definedName>
    <definedName name="_xlnm.Print_Titles" localSheetId="12">'Checklist'!$5:$5</definedName>
    <definedName name="_xlnm.Print_Area" localSheetId="14">'Itinerary'!$B5:$G40</definedName>
    <definedName name="_xlnm.Print_Titles" localSheetId="14">'Itinerary'!$5:$5</definedName>
    <definedName name="_xlnm.Print_Area" localSheetId="15">'Menu &amp; Drinks'!$B5:$H33</definedName>
    <definedName name="_xlnm.Print_Titles" localSheetId="15">'Menu &amp; Drinks'!$5:$5</definedName>
    <definedName name="_xlnm.Print_Area" localSheetId="16">'Music &amp; Moments'!$B5:$G33</definedName>
    <definedName name="_xlnm.Print_Titles" localSheetId="16">'Music &amp; Moments'!$5:$5</definedName>
    <definedName name="_xlnm.Print_Area" localSheetId="18">'Beauty &amp; Wellness'!$B5:$I24</definedName>
    <definedName name="_xlnm.Print_Titles" localSheetId="18">'Beauty &amp; Wellness'!$5:$5</definedName>
    <definedName name="_xlnm.Print_Area" localSheetId="22">'Photo Shot List'!$B5:$F45</definedName>
    <definedName name="_xlnm.Print_Titles" localSheetId="22">'Photo Shot List'!$5:$5</definedName>
    <definedName name="_xlnm.Print_Area" localSheetId="23">'Vows &amp; Speeches'!$B5:$H17</definedName>
    <definedName name="_xlnm.Print_Titles" localSheetId="23">'Vows &amp; Speeches'!$5:$5</definedName>
    <definedName name="_xlnm.Print_Area" localSheetId="24">'Emergency Kit'!$B5:$E33</definedName>
    <definedName name="_xlnm.Print_Titles" localSheetId="24">'Emergency Kit'!$5:$5</definedName>
  </definedNames>
  <calcPr calcId="171027"/>
</workbook>
</file>

<file path=xl/sharedStrings.xml><?xml version="1.0" encoding="utf-8"?>
<sst xmlns="http://schemas.openxmlformats.org/spreadsheetml/2006/main" count="1656" uniqueCount="804">
  <si>
    <t>REAL COST OF EVERYTHING QUOTED</t>
  </si>
  <si>
    <t>PAID SO FAR</t>
  </si>
  <si>
    <t>STILL TO PAY</t>
  </si>
  <si>
    <t>LEFT TO BUDGET</t>
  </si>
  <si>
    <t>CASH YOU NEED</t>
  </si>
  <si>
    <t>TASKS DUE SOON</t>
  </si>
  <si>
    <t>RSVP</t>
  </si>
  <si>
    <t>INVITATIONS</t>
  </si>
  <si>
    <t>PAYMENTS DUE NEXT</t>
  </si>
  <si>
    <t>GUESTS</t>
  </si>
  <si>
    <t>INVITED</t>
  </si>
  <si>
    <t>SENT</t>
  </si>
  <si>
    <t>CASH NEEDED BY MONTH</t>
  </si>
  <si>
    <t>COMING</t>
  </si>
  <si>
    <t>WAITING</t>
  </si>
  <si>
    <t>CHECKLIST · LEFT TO DO</t>
  </si>
  <si>
    <t>WHAT THIS REALLY COSTS</t>
  </si>
  <si>
    <t>Quoted (net of extras)</t>
  </si>
  <si>
    <t>+ service, tax, tip, delivery</t>
  </si>
  <si>
    <t>+ costs not yet budgeted</t>
  </si>
  <si>
    <t>= true exposure</t>
  </si>
  <si>
    <t>BUDGET VS REAL COST BY CATEGORY</t>
  </si>
  <si>
    <t>GUEST GROUPS</t>
  </si>
  <si>
    <t>WHERE THE MONEY GOES</t>
  </si>
  <si>
    <t>Wedding Planner Pro · Anchit Labs · formulas only, no macros — works in Google Sheets and Excel</t>
  </si>
  <si>
    <t>Welcome — start here</t>
  </si>
  <si>
    <t>Five minutes of setup, then this planner runs itself.</t>
  </si>
  <si>
    <t>Step 1 — Make it yours</t>
  </si>
  <si>
    <t>Google Sheets: File → Make a copy. Excel: just open the file. Everything is formulas — no macros, no add-ons, nothing to enable.</t>
  </si>
  <si>
    <t>Step 2 — Fill the Setup tab (3 minutes)</t>
  </si>
  <si>
    <t>Your names, wedding date, currency symbol and total budget. Every other tab reads from there: the countdown, the calendar, all 45 checklist due dates, and every money column.</t>
  </si>
  <si>
    <t>Step 3 — Enter vendors as you get quotes</t>
  </si>
  <si>
    <t>On "Vendors &amp; Real Cost", type the quote BEFORE tax and tip. The sheet adds service charge, tax, tip and delivery and shows what you will actually pay. This is where most couples lose control of the budget — hidden extras average around 9% of total spend.</t>
  </si>
  <si>
    <t>Step 4 — Check "Payment Schedule" once a month</t>
  </si>
  <si>
    <t>It tells you how much cash you need in each month, so a deposit never surprises you.</t>
  </si>
  <si>
    <t>Step 5 — Everything else as you go</t>
  </si>
  <si>
    <t>Guest List → RSVPs and meals. Checklist → tick tasks. Seating → tables. The Dashboard summarises all of it on one screen.</t>
  </si>
  <si>
    <t>Changing the currency (20 seconds)</t>
  </si>
  <si>
    <t>Type your symbol on the Setup tab — every column heading and every figure on the dashboard follows it immediately. To change the symbol shown inside the money cells as well: In Google Sheets, click the corner box to select the whole tab, then Format → Number → Custom currency, and pick yours. In Excel, right-click any sheet tab → Select All Sheets, press Ctrl+1, choose Currency and your symbol, then right-click a tab → Ungroup Sheets. Spreadsheets cannot link a number format to a cell, which is why this is two clicks rather than automatic.</t>
  </si>
  <si>
    <t>Good to know</t>
  </si>
  <si>
    <t>•  Gold cells are yours to edit. White cells are calculated — typing over them breaks the maths.</t>
  </si>
  <si>
    <t>•  Dates read as "12 May 2027" so there is no confusion between day and month. To change the style, select the column and use Format → Number → Date.</t>
  </si>
  <si>
    <t>•  Add rows by right-clicking a row number INSIDE a table and choosing Insert — totals and charts follow automatically.</t>
  </si>
  <si>
    <t>•  Do not delete tabs or header rows. The hidden "Data" tab feeds the dashboard.</t>
  </si>
  <si>
    <t>Setup</t>
  </si>
  <si>
    <t>Fill these in once — every tab and the dashboard read from here.</t>
  </si>
  <si>
    <t>Partner 1</t>
  </si>
  <si>
    <t>Emily</t>
  </si>
  <si>
    <t>Shown on the dashboard and in the Side dropdown of the guest list.</t>
  </si>
  <si>
    <t>Partner 2</t>
  </si>
  <si>
    <t>John</t>
  </si>
  <si>
    <t>Wedding date</t>
  </si>
  <si>
    <t>Drives the countdown, the calendar, and all 45 checklist due dates.</t>
  </si>
  <si>
    <t>Currency symbol</t>
  </si>
  <si>
    <t>$</t>
  </si>
  <si>
    <t>Type any symbol — $, £, €, ₹, ¥. Headings and the dashboard follow instantly; see Start Here for the 20-second way to change the money cells too.</t>
  </si>
  <si>
    <t>Total budget</t>
  </si>
  <si>
    <t>The Left to Budget gauge compares this with your category budgets.</t>
  </si>
  <si>
    <t>Expected guests</t>
  </si>
  <si>
    <t>Venue</t>
  </si>
  <si>
    <t>The Orchard House, Sonoma</t>
  </si>
  <si>
    <t>Appears on the dashboard header.</t>
  </si>
  <si>
    <t>Default rates for the Vendors tab</t>
  </si>
  <si>
    <t>Service charge %</t>
  </si>
  <si>
    <t>Typical US venue/catering service charge. Change to yours.</t>
  </si>
  <si>
    <t>Sales tax %</t>
  </si>
  <si>
    <t>Your local tax rate.</t>
  </si>
  <si>
    <t>Tip % (where you tip)</t>
  </si>
  <si>
    <t>Applied only where you set Tip? = Yes.</t>
  </si>
  <si>
    <t>Guest groups (dropdown on the guest list)</t>
  </si>
  <si>
    <t>Partner 1 family</t>
  </si>
  <si>
    <t>Partner 2 family</t>
  </si>
  <si>
    <t>Friends</t>
  </si>
  <si>
    <t>Colleagues</t>
  </si>
  <si>
    <t>Other</t>
  </si>
  <si>
    <t>Gold cells are yours. Everything is formulas — works in Google Sheets (File → Make a copy) and Excel 365 / 2021 on Windows and Mac.</t>
  </si>
  <si>
    <t>Vendors &amp; real cost</t>
  </si>
  <si>
    <t>Type the quote BEFORE tax and tip. The sheet adds service charge, tax, tip and delivery so you see what you will actually pay. Hidden extras are what blow wedding budgets. Contact details live on the Contacts tab.</t>
  </si>
  <si>
    <t>Vendor</t>
  </si>
  <si>
    <t>Category</t>
  </si>
  <si>
    <t>Quote (net)</t>
  </si>
  <si>
    <t>Service %</t>
  </si>
  <si>
    <t>Tax %</t>
  </si>
  <si>
    <t>Tip?</t>
  </si>
  <si>
    <t>Delivery</t>
  </si>
  <si>
    <t>REAL COST</t>
  </si>
  <si>
    <t>Deposit</t>
  </si>
  <si>
    <t>Deposit due</t>
  </si>
  <si>
    <t>Balance</t>
  </si>
  <si>
    <t>Balance due</t>
  </si>
  <si>
    <t>Paid in full?</t>
  </si>
  <si>
    <t>Notes</t>
  </si>
  <si>
    <t>The Orchard House</t>
  </si>
  <si>
    <t>No</t>
  </si>
  <si>
    <t>Golden Spoon Catering</t>
  </si>
  <si>
    <t>Catering &amp; drinks</t>
  </si>
  <si>
    <t>Yes</t>
  </si>
  <si>
    <t>Lens &amp; Light</t>
  </si>
  <si>
    <t>Photography &amp; video</t>
  </si>
  <si>
    <t>Bloom &amp; Co.</t>
  </si>
  <si>
    <t>Flowers &amp; decor</t>
  </si>
  <si>
    <t>DJ Nova</t>
  </si>
  <si>
    <t>Music &amp; entertainment</t>
  </si>
  <si>
    <t>Paper &amp; Ink Studio</t>
  </si>
  <si>
    <t>Stationery</t>
  </si>
  <si>
    <t>Sweet Layer Bakery</t>
  </si>
  <si>
    <t>Cake</t>
  </si>
  <si>
    <t>Rev. Daniel Okafor</t>
  </si>
  <si>
    <t>Officiant</t>
  </si>
  <si>
    <t>Atelier Mae</t>
  </si>
  <si>
    <t>Attire &amp; alterations</t>
  </si>
  <si>
    <t>Glow Beauty Co.</t>
  </si>
  <si>
    <t>Hair &amp; makeup</t>
  </si>
  <si>
    <t>Total</t>
  </si>
  <si>
    <t>Service charge, tax and tip defaults come from the Setup tab — change them there or override per vendor. Tip is applied to the net quote only where Tip? = Yes. REAL COST is the number you should be budgeting against, not the quote.</t>
  </si>
  <si>
    <t>Contacts</t>
  </si>
  <si>
    <t>Every phone number for the day, in one printable place. Vendor names come across from the Vendors tab automatically — just fill in their details.</t>
  </si>
  <si>
    <t>Name</t>
  </si>
  <si>
    <t>Role / company</t>
  </si>
  <si>
    <t>Contact person</t>
  </si>
  <si>
    <t>Phone</t>
  </si>
  <si>
    <t>Email</t>
  </si>
  <si>
    <t>Website</t>
  </si>
  <si>
    <t>Marta Lund</t>
  </si>
  <si>
    <t>555-0141</t>
  </si>
  <si>
    <t>events@orchardhouse.com</t>
  </si>
  <si>
    <t>orchardhouse.com</t>
  </si>
  <si>
    <t>Ahmed Sy</t>
  </si>
  <si>
    <t>555-0177</t>
  </si>
  <si>
    <t>hello@goldenspoon.co</t>
  </si>
  <si>
    <t>goldenspoon.co</t>
  </si>
  <si>
    <t>Ivy Moreno</t>
  </si>
  <si>
    <t>555-0122</t>
  </si>
  <si>
    <t>ivy@lensandlight.com</t>
  </si>
  <si>
    <t>lensandlight.com</t>
  </si>
  <si>
    <t>Jenna Park</t>
  </si>
  <si>
    <t>555-0190</t>
  </si>
  <si>
    <t>jenna@bloomco.com</t>
  </si>
  <si>
    <t>bloomco.com</t>
  </si>
  <si>
    <t>Nova Reyes</t>
  </si>
  <si>
    <t>555-0133</t>
  </si>
  <si>
    <t>bookings@djnova.fm</t>
  </si>
  <si>
    <t>djnova.fm</t>
  </si>
  <si>
    <t>Tom Ellis</t>
  </si>
  <si>
    <t>555-0108</t>
  </si>
  <si>
    <t>tom@paperandink.co</t>
  </si>
  <si>
    <t>paperandink.co</t>
  </si>
  <si>
    <t>Rosa Diaz</t>
  </si>
  <si>
    <t>555-0166</t>
  </si>
  <si>
    <t>rosa@sweetlayer.com</t>
  </si>
  <si>
    <t>sweetlayer.com</t>
  </si>
  <si>
    <t/>
  </si>
  <si>
    <t>555-0150</t>
  </si>
  <si>
    <t>Mae Lin</t>
  </si>
  <si>
    <t>555-0119</t>
  </si>
  <si>
    <t>studio@ateliermae.com</t>
  </si>
  <si>
    <t>ateliermae.com</t>
  </si>
  <si>
    <t>Priya Nair</t>
  </si>
  <si>
    <t>555-0188</t>
  </si>
  <si>
    <t>book@glowbeauty.co</t>
  </si>
  <si>
    <t>glowbeauty.co</t>
  </si>
  <si>
    <t>Add anyone else below — wedding party, family, venue coordinator, babysitter</t>
  </si>
  <si>
    <t>Print this tab and give a copy to whoever is running the day. It is the sheet people reach for when something goes wrong.</t>
  </si>
  <si>
    <t>Payment schedule</t>
  </si>
  <si>
    <t>Every deposit and balance, in date order, with the cash you need each month. Built automatically from the Vendors tab.</t>
  </si>
  <si>
    <t>Due date</t>
  </si>
  <si>
    <t>What</t>
  </si>
  <si>
    <t>Amount</t>
  </si>
  <si>
    <t>Paid?</t>
  </si>
  <si>
    <t>Days away</t>
  </si>
  <si>
    <t>Status</t>
  </si>
  <si>
    <t>Cash you need, month by month</t>
  </si>
  <si>
    <t>Month</t>
  </si>
  <si>
    <t>Still to pay</t>
  </si>
  <si>
    <t>Already paid</t>
  </si>
  <si>
    <t>Running total still to pay</t>
  </si>
  <si>
    <t>Deposit dates come from the Vendors tab. Balance dates default to one week before the wedding — change them per vendor there if your contract says otherwise.</t>
  </si>
  <si>
    <t>Quote tracker</t>
  </si>
  <si>
    <t>Quotes move. Record the first number, the revised number and what you finally signed — so a florist coming back $3,000 higher never slips past you.</t>
  </si>
  <si>
    <t>First quote</t>
  </si>
  <si>
    <t>Date</t>
  </si>
  <si>
    <t>Revised quote</t>
  </si>
  <si>
    <t>Final signed</t>
  </si>
  <si>
    <t>Change</t>
  </si>
  <si>
    <t>Change %</t>
  </si>
  <si>
    <t>Why it changed</t>
  </si>
  <si>
    <t>Added heaters for an outdoor ceremony</t>
  </si>
  <si>
    <t>Guest count rose from 100 to 120</t>
  </si>
  <si>
    <t>Peonies out of season — swapped to garden roses</t>
  </si>
  <si>
    <t>Total creep</t>
  </si>
  <si>
    <t>Leave Revised blank if the quote never changed. Change is measured against the first quote, so you can see the true drift across the whole wedding.</t>
  </si>
  <si>
    <t>The costs couples forget</t>
  </si>
  <si>
    <t>Roughly 9% of a wedding budget turns out to be things nobody planned for. Tick these off before they surprise you.</t>
  </si>
  <si>
    <t>Forgotten cost</t>
  </si>
  <si>
    <t>Typical</t>
  </si>
  <si>
    <t>Your estimate</t>
  </si>
  <si>
    <t>Applies to us?</t>
  </si>
  <si>
    <t>Budgeted?</t>
  </si>
  <si>
    <t>Vendor tips / gratuities</t>
  </si>
  <si>
    <t>Service charges on catering &amp; venue</t>
  </si>
  <si>
    <t>Sales tax on everything</t>
  </si>
  <si>
    <t>Delivery &amp; setup fees</t>
  </si>
  <si>
    <t>Overtime if the party runs late</t>
  </si>
  <si>
    <t>Dress alterations</t>
  </si>
  <si>
    <t>Hair &amp; makeup trials</t>
  </si>
  <si>
    <t>Marriage licence &amp; officiant fees</t>
  </si>
  <si>
    <t>Postage for invitations &amp; thank-yous</t>
  </si>
  <si>
    <t>Welcome bags / favours</t>
  </si>
  <si>
    <t>Vendor meals on the day</t>
  </si>
  <si>
    <t>Cake cutting &amp; corkage fees</t>
  </si>
  <si>
    <t>Parking or shuttle for guests</t>
  </si>
  <si>
    <t>Wedding insurance</t>
  </si>
  <si>
    <t>Rain plan / marquee hire</t>
  </si>
  <si>
    <t>Maybe</t>
  </si>
  <si>
    <t>Photo album &amp; prints after the day</t>
  </si>
  <si>
    <t>Thank-you cards &amp; gifts for the party</t>
  </si>
  <si>
    <t>Alterations &amp; cleaning of the dress after</t>
  </si>
  <si>
    <t>Permits for a public venue</t>
  </si>
  <si>
    <t>Beauty: nails, tan, skincare run-up</t>
  </si>
  <si>
    <t>Rehearsal dinner extras</t>
  </si>
  <si>
    <t>Day-after brunch</t>
  </si>
  <si>
    <t>Not yet in your budget</t>
  </si>
  <si>
    <t>"Typical" figures are rough US averages for a 100–150 guest wedding — overwrite them with your own numbers. Anything marked Applies = Yes but Budgeted = No is counted above.</t>
  </si>
  <si>
    <t>Budget by category</t>
  </si>
  <si>
    <t>Set a budget per category. Quoted and paid pull from the Vendors tab automatically.</t>
  </si>
  <si>
    <t>Budgeted</t>
  </si>
  <si>
    <t>Real cost (quoted)</t>
  </si>
  <si>
    <t>Paid so far</t>
  </si>
  <si>
    <t>Left to pay</t>
  </si>
  <si>
    <t>Over / (under)</t>
  </si>
  <si>
    <t>% of spend</t>
  </si>
  <si>
    <t>Transport</t>
  </si>
  <si>
    <t>Gifts &amp; favours</t>
  </si>
  <si>
    <t>Honeymoon</t>
  </si>
  <si>
    <t>Miscellaneous</t>
  </si>
  <si>
    <t>Real cost and Paid are pulled from the Vendors tab by matching Category — keep the category names the same in both places.</t>
  </si>
  <si>
    <t>Guest list</t>
  </si>
  <si>
    <t>One row per guest. RSVP, meal, table and Role feed the dashboard, the seating plan and the wedding party.</t>
  </si>
  <si>
    <t>#</t>
  </si>
  <si>
    <t>Guest name</t>
  </si>
  <si>
    <t>Group</t>
  </si>
  <si>
    <t>Side</t>
  </si>
  <si>
    <t>Role</t>
  </si>
  <si>
    <t>Invite sent?</t>
  </si>
  <si>
    <t>Plus one?</t>
  </si>
  <si>
    <t>Meal</t>
  </si>
  <si>
    <t>Table</t>
  </si>
  <si>
    <t>Gift received?</t>
  </si>
  <si>
    <t>Thank-you sent?</t>
  </si>
  <si>
    <t>Address (optional)</t>
  </si>
  <si>
    <t>Margaret &amp; Tom Hale</t>
  </si>
  <si>
    <t>Parent</t>
  </si>
  <si>
    <t>Standard</t>
  </si>
  <si>
    <t>Priya Raman</t>
  </si>
  <si>
    <t>Maid of Honour</t>
  </si>
  <si>
    <t>Vegetarian</t>
  </si>
  <si>
    <t>David &amp; Sarah Chen</t>
  </si>
  <si>
    <t>Luis Ortega</t>
  </si>
  <si>
    <t>Guest</t>
  </si>
  <si>
    <t>Pending</t>
  </si>
  <si>
    <t>Grace Whitfield</t>
  </si>
  <si>
    <t>Bridesmaid</t>
  </si>
  <si>
    <t>Aunt Rosa Bianchi</t>
  </si>
  <si>
    <t>Vegan</t>
  </si>
  <si>
    <t>Ben Park</t>
  </si>
  <si>
    <t>Best Man</t>
  </si>
  <si>
    <t>Chloe Park</t>
  </si>
  <si>
    <t>Nadia Osei</t>
  </si>
  <si>
    <t>Grandpa Walter</t>
  </si>
  <si>
    <t>Grandparent</t>
  </si>
  <si>
    <t>Sam Delgado</t>
  </si>
  <si>
    <t>Groomsman</t>
  </si>
  <si>
    <t>Hannah Reed</t>
  </si>
  <si>
    <t>Oli Reed</t>
  </si>
  <si>
    <t>Mr &amp; Mrs Kapoor</t>
  </si>
  <si>
    <t>Role drives the Wedding Party summary on the dashboard. Address sits at the far right deliberately — it is only needed at invitation time and should not get in the way of the columns you use every week.</t>
  </si>
  <si>
    <t>Seating plan</t>
  </si>
  <si>
    <t>Name your tables and set capacities. Seated counts come from the Table column of the guest list; the waiting list shows confirmed guests with no table yet.</t>
  </si>
  <si>
    <t>Table #</t>
  </si>
  <si>
    <t>Table name</t>
  </si>
  <si>
    <t>Capacity</t>
  </si>
  <si>
    <t>Seated</t>
  </si>
  <si>
    <t>Seats free</t>
  </si>
  <si>
    <t>Waiting to be seated (confirmed, no table)</t>
  </si>
  <si>
    <t>Top table</t>
  </si>
  <si>
    <t>Hale family</t>
  </si>
  <si>
    <t>Chen family</t>
  </si>
  <si>
    <t>University friends</t>
  </si>
  <si>
    <t>Work — Emily</t>
  </si>
  <si>
    <t>Work — John</t>
  </si>
  <si>
    <t>Cousins</t>
  </si>
  <si>
    <t>Neighbours</t>
  </si>
  <si>
    <t>Totals</t>
  </si>
  <si>
    <t>Seated counts each guest once and their plus-one once. "OVER" means more people are assigned than the table holds.</t>
  </si>
  <si>
    <t>Wedding party</t>
  </si>
  <si>
    <t>Everyone with a role. Names and roles come across from the Guest List — set someone's Role there and they appear here.</t>
  </si>
  <si>
    <t>Attire size</t>
  </si>
  <si>
    <t>Attire ordered?</t>
  </si>
  <si>
    <t>Fitting date</t>
  </si>
  <si>
    <t>Gift idea</t>
  </si>
  <si>
    <t>Gift bought?</t>
  </si>
  <si>
    <t>Duties</t>
  </si>
  <si>
    <t>—</t>
  </si>
  <si>
    <t>Not needed</t>
  </si>
  <si>
    <t>Framed photo of them at their own wedding</t>
  </si>
  <si>
    <t>8</t>
  </si>
  <si>
    <t>Spa voucher</t>
  </si>
  <si>
    <t>Framed photo</t>
  </si>
  <si>
    <t>10</t>
  </si>
  <si>
    <t>Necklace</t>
  </si>
  <si>
    <t>40R</t>
  </si>
  <si>
    <t>Engraved hip flask</t>
  </si>
  <si>
    <t>Boutonnière + card</t>
  </si>
  <si>
    <t>42R</t>
  </si>
  <si>
    <t>Cufflinks</t>
  </si>
  <si>
    <t>12</t>
  </si>
  <si>
    <t>Robe + slippers</t>
  </si>
  <si>
    <t>Thank-you gift + fee</t>
  </si>
  <si>
    <t>This list is driven by the Role column on the Guest List. Anyone you mark as something other than "Guest" appears here automatically, in the order they sit in the guest list.</t>
  </si>
  <si>
    <t>Wedding checklist</t>
  </si>
  <si>
    <t>Due dates are calculated from your wedding date — edit "days before" to move a task. Tick Done and it fades out; anything overdue turns red.</t>
  </si>
  <si>
    <t>Phase</t>
  </si>
  <si>
    <t>Task</t>
  </si>
  <si>
    <t>Owner</t>
  </si>
  <si>
    <t>Days before</t>
  </si>
  <si>
    <t>Priority</t>
  </si>
  <si>
    <t>Done?</t>
  </si>
  <si>
    <t>Days left</t>
  </si>
  <si>
    <t>12+ months</t>
  </si>
  <si>
    <t>Agree the overall budget</t>
  </si>
  <si>
    <t>Both</t>
  </si>
  <si>
    <t>High</t>
  </si>
  <si>
    <t>Draft the guest list</t>
  </si>
  <si>
    <t>Choose the date</t>
  </si>
  <si>
    <t>Book the venue</t>
  </si>
  <si>
    <t>Book the photographer</t>
  </si>
  <si>
    <t>Book the caterer</t>
  </si>
  <si>
    <t>9-12 months</t>
  </si>
  <si>
    <t>Choose the wedding party</t>
  </si>
  <si>
    <t>Medium</t>
  </si>
  <si>
    <t>Book band or DJ</t>
  </si>
  <si>
    <t>Book the officiant</t>
  </si>
  <si>
    <t>Start dress / suit shopping</t>
  </si>
  <si>
    <t>Book the florist</t>
  </si>
  <si>
    <t>Reserve hotel room blocks</t>
  </si>
  <si>
    <t>Low</t>
  </si>
  <si>
    <t>6-9 months</t>
  </si>
  <si>
    <t>Send save-the-dates</t>
  </si>
  <si>
    <t>Order the dress / suits</t>
  </si>
  <si>
    <t>Book transport</t>
  </si>
  <si>
    <t>Plan the honeymoon</t>
  </si>
  <si>
    <t>Set up the gift registry</t>
  </si>
  <si>
    <t>Cake tasting and order</t>
  </si>
  <si>
    <t>3-6 months</t>
  </si>
  <si>
    <t>Order invitations</t>
  </si>
  <si>
    <t>Choose wedding party attire</t>
  </si>
  <si>
    <t>Hair and makeup trial</t>
  </si>
  <si>
    <t>Finalise the menu</t>
  </si>
  <si>
    <t>Buy the rings</t>
  </si>
  <si>
    <t>Book rehearsal dinner venue</t>
  </si>
  <si>
    <t>1-3 months</t>
  </si>
  <si>
    <t>Send invitations</t>
  </si>
  <si>
    <t>Write your vows</t>
  </si>
  <si>
    <t>Final dress fitting</t>
  </si>
  <si>
    <t>Apply for the marriage licence</t>
  </si>
  <si>
    <t>RSVP deadline</t>
  </si>
  <si>
    <t>Confirm the ceremony order</t>
  </si>
  <si>
    <t>Final month</t>
  </si>
  <si>
    <t>Confirm every vendor</t>
  </si>
  <si>
    <t>Give final numbers to the caterer</t>
  </si>
  <si>
    <t>Make the seating plan</t>
  </si>
  <si>
    <t>Pay remaining balances</t>
  </si>
  <si>
    <t>Prepare welcome bags</t>
  </si>
  <si>
    <t>Break in the shoes</t>
  </si>
  <si>
    <t>Final week</t>
  </si>
  <si>
    <t>Final headcount to caterer</t>
  </si>
  <si>
    <t>Pack for the honeymoon</t>
  </si>
  <si>
    <t>Confirm transport times</t>
  </si>
  <si>
    <t>Pick up the dress / suits</t>
  </si>
  <si>
    <t>Prepare tip envelopes</t>
  </si>
  <si>
    <t>Rehearsal</t>
  </si>
  <si>
    <t>Wedding day</t>
  </si>
  <si>
    <t>Breakfast and water</t>
  </si>
  <si>
    <t>Hair and makeup</t>
  </si>
  <si>
    <t>Hand rings to the best man</t>
  </si>
  <si>
    <t>Enjoy it</t>
  </si>
  <si>
    <t>Add your own tasks by inserting a row inside the table — set the phase and the days before, and the due date calculates itself.</t>
  </si>
  <si>
    <t>Calendar</t>
  </si>
  <si>
    <t>Pick a month. Checklist tasks and vendor payments appear on their days automatically.</t>
  </si>
  <si>
    <t>Year</t>
  </si>
  <si>
    <t>Mon</t>
  </si>
  <si>
    <t>Tue</t>
  </si>
  <si>
    <t>Wed</t>
  </si>
  <si>
    <t>Thu</t>
  </si>
  <si>
    <t>Fri</t>
  </si>
  <si>
    <t>Sat</t>
  </si>
  <si>
    <t>Sun</t>
  </si>
  <si>
    <t>Legend</t>
  </si>
  <si>
    <t>Change the month and year in the gold cells. Tasks come from the Checklist tab, payments from the Payment Schedule.</t>
  </si>
  <si>
    <t>Today</t>
  </si>
  <si>
    <t>Wedding day itinerary</t>
  </si>
  <si>
    <t>The run of the day, including when each vendor arrives. Share it with the wedding party and every supplier.</t>
  </si>
  <si>
    <t>Time</t>
  </si>
  <si>
    <t>What happens</t>
  </si>
  <si>
    <t>Who</t>
  </si>
  <si>
    <t>Where</t>
  </si>
  <si>
    <t>Vendor / contact</t>
  </si>
  <si>
    <t>08:00</t>
  </si>
  <si>
    <t>Hair and makeup begins</t>
  </si>
  <si>
    <t>Bridal party</t>
  </si>
  <si>
    <t>Bridal suite</t>
  </si>
  <si>
    <t>09:30</t>
  </si>
  <si>
    <t>Florist delivers bouquets</t>
  </si>
  <si>
    <t>Florist</t>
  </si>
  <si>
    <t>Bridal suite + venue</t>
  </si>
  <si>
    <t>10:00</t>
  </si>
  <si>
    <t>Photographer arrives — getting ready shots</t>
  </si>
  <si>
    <t>Photographer</t>
  </si>
  <si>
    <t>11:00</t>
  </si>
  <si>
    <t>Groomsmen dressed</t>
  </si>
  <si>
    <t>Groom + party</t>
  </si>
  <si>
    <t>Garden room</t>
  </si>
  <si>
    <t>11:30</t>
  </si>
  <si>
    <t>Ceremony setup complete</t>
  </si>
  <si>
    <t>Venue team</t>
  </si>
  <si>
    <t>Orchard lawn</t>
  </si>
  <si>
    <t>12:00</t>
  </si>
  <si>
    <t>Guests begin to arrive</t>
  </si>
  <si>
    <t>Ushers</t>
  </si>
  <si>
    <t>12:30</t>
  </si>
  <si>
    <t>CEREMONY</t>
  </si>
  <si>
    <t>Everyone</t>
  </si>
  <si>
    <t>13:00</t>
  </si>
  <si>
    <t>Confetti and group photos</t>
  </si>
  <si>
    <t>Rose walk</t>
  </si>
  <si>
    <t>13:30</t>
  </si>
  <si>
    <t>Drinks reception and canapés</t>
  </si>
  <si>
    <t>Guests</t>
  </si>
  <si>
    <t>Terrace</t>
  </si>
  <si>
    <t>15:00</t>
  </si>
  <si>
    <t>Guests seated for the meal</t>
  </si>
  <si>
    <t>Great hall</t>
  </si>
  <si>
    <t>15:15</t>
  </si>
  <si>
    <t>Wedding breakfast served</t>
  </si>
  <si>
    <t>16:30</t>
  </si>
  <si>
    <t>Speeches</t>
  </si>
  <si>
    <t>Best man, parents</t>
  </si>
  <si>
    <t>17:15</t>
  </si>
  <si>
    <t>Cake cutting</t>
  </si>
  <si>
    <t>Couple</t>
  </si>
  <si>
    <t>17:30</t>
  </si>
  <si>
    <t>Room turnaround</t>
  </si>
  <si>
    <t>18:00</t>
  </si>
  <si>
    <t>Evening guests arrive</t>
  </si>
  <si>
    <t>18:30</t>
  </si>
  <si>
    <t>First dance</t>
  </si>
  <si>
    <t>Dance floor</t>
  </si>
  <si>
    <t>19:00</t>
  </si>
  <si>
    <t>Dancing</t>
  </si>
  <si>
    <t>21:00</t>
  </si>
  <si>
    <t>Evening food</t>
  </si>
  <si>
    <t>23:30</t>
  </si>
  <si>
    <t>Last dance</t>
  </si>
  <si>
    <t>00:00</t>
  </si>
  <si>
    <t>Carriages</t>
  </si>
  <si>
    <t>Front drive</t>
  </si>
  <si>
    <t>Times are text, so "08:00" or "8am" both work. Print this tab and hand it to the venue coordinator.</t>
  </si>
  <si>
    <t>Menu &amp; drinks</t>
  </si>
  <si>
    <t>Your menu, and the headcount per meal choice pulled straight from the guest list RSVPs — this is the number the caterer asks for.</t>
  </si>
  <si>
    <t>Confirmed meal choices</t>
  </si>
  <si>
    <t>Meal choice</t>
  </si>
  <si>
    <t>Confirmed guests</t>
  </si>
  <si>
    <t>Gluten free</t>
  </si>
  <si>
    <t>Kids</t>
  </si>
  <si>
    <t>Total confirmed</t>
  </si>
  <si>
    <t>Menu</t>
  </si>
  <si>
    <t>Course</t>
  </si>
  <si>
    <t>Dish</t>
  </si>
  <si>
    <t>Dietary notes</t>
  </si>
  <si>
    <t>Per head</t>
  </si>
  <si>
    <t>Cost</t>
  </si>
  <si>
    <t>Confirmed?</t>
  </si>
  <si>
    <t>Canapés</t>
  </si>
  <si>
    <t>Goat's cheese tartlet · smoked salmon blini · arancini</t>
  </si>
  <si>
    <t>V option</t>
  </si>
  <si>
    <t>Starter</t>
  </si>
  <si>
    <t>Heritage tomato &amp; burrata</t>
  </si>
  <si>
    <t>V · GF on request</t>
  </si>
  <si>
    <t>Main</t>
  </si>
  <si>
    <t>Herb-crusted lamb, dauphinoise, spring greens</t>
  </si>
  <si>
    <t>Veg: wild mushroom wellington</t>
  </si>
  <si>
    <t>Dessert</t>
  </si>
  <si>
    <t>Lemon posset with shortbread</t>
  </si>
  <si>
    <t>GF shortbread available</t>
  </si>
  <si>
    <t>Wood-fired pizza</t>
  </si>
  <si>
    <t>V + vegan bases</t>
  </si>
  <si>
    <t>Drinks</t>
  </si>
  <si>
    <t>Welcome fizz, 1/2 bottle wine per head, toast</t>
  </si>
  <si>
    <t>Estimated catering cost</t>
  </si>
  <si>
    <t>Guests is the confirmed headcount above, so the cost updates as RSVPs come in. Compare the total with the caterer's quote on the Vendors tab.</t>
  </si>
  <si>
    <t>Music &amp; moments</t>
  </si>
  <si>
    <t>The songs that matter, in order, with who cues them. Give this to the DJ or band two weeks before.</t>
  </si>
  <si>
    <t>Moment</t>
  </si>
  <si>
    <t>Song</t>
  </si>
  <si>
    <t>Artist</t>
  </si>
  <si>
    <t>Who cues it</t>
  </si>
  <si>
    <t>Guests arriving</t>
  </si>
  <si>
    <t>Processional — wedding party</t>
  </si>
  <si>
    <t>Processional — the bride</t>
  </si>
  <si>
    <t>Signing the register</t>
  </si>
  <si>
    <t>Recessional</t>
  </si>
  <si>
    <t>Drinks reception</t>
  </si>
  <si>
    <t>Entrance to the meal</t>
  </si>
  <si>
    <t>During the meal</t>
  </si>
  <si>
    <t>Parent dance</t>
  </si>
  <si>
    <t>Dance floor opener</t>
  </si>
  <si>
    <t>Do NOT play</t>
  </si>
  <si>
    <t>Cheesy conga line</t>
  </si>
  <si>
    <t>The do-not-play list is the single most useful thing you can hand a DJ. Be specific — songs, artists, or whole genres.</t>
  </si>
  <si>
    <t>Attire &amp; fittings</t>
  </si>
  <si>
    <t>Dress, suits, shoes, accessories — what is ordered, what still needs altering, and when each fitting is.</t>
  </si>
  <si>
    <t>Item</t>
  </si>
  <si>
    <t>For</t>
  </si>
  <si>
    <t>Shop</t>
  </si>
  <si>
    <t>Size</t>
  </si>
  <si>
    <t>Ordered?</t>
  </si>
  <si>
    <t>Arrived?</t>
  </si>
  <si>
    <t>Fitting 1</t>
  </si>
  <si>
    <t>Fitting 2</t>
  </si>
  <si>
    <t>Wedding dress</t>
  </si>
  <si>
    <t>Veil</t>
  </si>
  <si>
    <t>-</t>
  </si>
  <si>
    <t>Shoes</t>
  </si>
  <si>
    <t>Bellini</t>
  </si>
  <si>
    <t>38</t>
  </si>
  <si>
    <t>Suit</t>
  </si>
  <si>
    <t>Thread &amp; Co.</t>
  </si>
  <si>
    <t>9</t>
  </si>
  <si>
    <t>Bridesmaid dresses ×3</t>
  </si>
  <si>
    <t>Bridesmaids</t>
  </si>
  <si>
    <t>various</t>
  </si>
  <si>
    <t>Groomsmen suits ×2</t>
  </si>
  <si>
    <t>Groomsmen</t>
  </si>
  <si>
    <t>Total attire</t>
  </si>
  <si>
    <t>Final fittings inside the next fortnight highlight amber. Add the shop to the Vendors tab if you want its cost in the budget.</t>
  </si>
  <si>
    <t>Beauty &amp; wellness</t>
  </si>
  <si>
    <t>Trials and appointments, counted back from your wedding date so nothing is left too late.</t>
  </si>
  <si>
    <t>Appointment</t>
  </si>
  <si>
    <t>Ideal timing</t>
  </si>
  <si>
    <t>Booked?</t>
  </si>
  <si>
    <t>Hair trial</t>
  </si>
  <si>
    <t>About 3 months before</t>
  </si>
  <si>
    <t>Makeup trial</t>
  </si>
  <si>
    <t>Same day as hair trial</t>
  </si>
  <si>
    <t>Facial</t>
  </si>
  <si>
    <t>Not the week of — allow recovery</t>
  </si>
  <si>
    <t>Hair colour</t>
  </si>
  <si>
    <t>Two weeks before</t>
  </si>
  <si>
    <t>Haircut</t>
  </si>
  <si>
    <t>One week before</t>
  </si>
  <si>
    <t>Nails</t>
  </si>
  <si>
    <t>Two days before</t>
  </si>
  <si>
    <t>Spray tan</t>
  </si>
  <si>
    <t>Two days before, never the day</t>
  </si>
  <si>
    <t>Hair &amp; makeup — the day</t>
  </si>
  <si>
    <t>Emily + party</t>
  </si>
  <si>
    <t>Wedding morning</t>
  </si>
  <si>
    <t>Total beauty</t>
  </si>
  <si>
    <t>Dates calculate from your wedding date. Anything unbooked within three weeks turns amber.</t>
  </si>
  <si>
    <t>Décor &amp; flowers</t>
  </si>
  <si>
    <t>Area by area: what goes where, whether you are hiring, buying or making it, and what it costs.</t>
  </si>
  <si>
    <t>Area</t>
  </si>
  <si>
    <t>Quantity</t>
  </si>
  <si>
    <t>Hire / buy / DIY</t>
  </si>
  <si>
    <t>Unit cost</t>
  </si>
  <si>
    <t>Supplier</t>
  </si>
  <si>
    <t>Sorted?</t>
  </si>
  <si>
    <t>Ceremony</t>
  </si>
  <si>
    <t>Aisle arrangements</t>
  </si>
  <si>
    <t>Buy</t>
  </si>
  <si>
    <t>Arch florals</t>
  </si>
  <si>
    <t>Hire</t>
  </si>
  <si>
    <t>Reception</t>
  </si>
  <si>
    <t>Table centrepieces</t>
  </si>
  <si>
    <t>Taper candles &amp; holders</t>
  </si>
  <si>
    <t>Top table garland</t>
  </si>
  <si>
    <t>Linen hire</t>
  </si>
  <si>
    <t>Bouquets</t>
  </si>
  <si>
    <t>Bridal bouquet</t>
  </si>
  <si>
    <t>Bridesmaid bouquets</t>
  </si>
  <si>
    <t>Buttonholes</t>
  </si>
  <si>
    <t>Groom &amp; groomsmen</t>
  </si>
  <si>
    <t>Signage</t>
  </si>
  <si>
    <t>Welcome sign</t>
  </si>
  <si>
    <t>DIY</t>
  </si>
  <si>
    <t>Total décor</t>
  </si>
  <si>
    <t>DIY items still cost money and time — price them honestly here, they are one of the commonest places a budget quietly overruns.</t>
  </si>
  <si>
    <t>Stationery &amp; signage</t>
  </si>
  <si>
    <t>Quantities are suggested from your guest list, so you order the right number of invitations and place cards.</t>
  </si>
  <si>
    <t>Suggested qty</t>
  </si>
  <si>
    <t>Ordering</t>
  </si>
  <si>
    <t>Designer / shop</t>
  </si>
  <si>
    <t>Save the dates</t>
  </si>
  <si>
    <t>Invitations</t>
  </si>
  <si>
    <t>RSVP cards &amp; envelopes</t>
  </si>
  <si>
    <t>Order of service</t>
  </si>
  <si>
    <t>Menus</t>
  </si>
  <si>
    <t>Place cards</t>
  </si>
  <si>
    <t>Table numbers</t>
  </si>
  <si>
    <t>Seating chart sign</t>
  </si>
  <si>
    <t>Thank-you cards</t>
  </si>
  <si>
    <t>Total stationery</t>
  </si>
  <si>
    <t>Suggested qty counts households for invitations and confirmed heads for on-the-day items. Put your own number in "Ordering" to override — always order a few spares.</t>
  </si>
  <si>
    <t>Venue &amp; vendor comparison</t>
  </si>
  <si>
    <t>Score the options you are choosing between. The winner is whichever scores highest for the money.</t>
  </si>
  <si>
    <t>Option</t>
  </si>
  <si>
    <t>Type</t>
  </si>
  <si>
    <t>Price</t>
  </si>
  <si>
    <t>Location</t>
  </si>
  <si>
    <t>Availability</t>
  </si>
  <si>
    <t>Style /5</t>
  </si>
  <si>
    <t>Value /5</t>
  </si>
  <si>
    <t>Feeling /5</t>
  </si>
  <si>
    <t>Score</t>
  </si>
  <si>
    <t>Sonoma</t>
  </si>
  <si>
    <t>Available</t>
  </si>
  <si>
    <t>Hillcrest Barn</t>
  </si>
  <si>
    <t>Napa</t>
  </si>
  <si>
    <t>The Old Mill</t>
  </si>
  <si>
    <t>Waitlist</t>
  </si>
  <si>
    <t>Catering</t>
  </si>
  <si>
    <t>Fern &amp; Fig</t>
  </si>
  <si>
    <t>Score each option 1-5 on style, value for money and how it made you feel. The average is your score — trust it when you are torn.</t>
  </si>
  <si>
    <t>Photo shot list</t>
  </si>
  <si>
    <t>Give this to your photographer two weeks before. The shots people most regret missing are the family groups.</t>
  </si>
  <si>
    <t>Shot</t>
  </si>
  <si>
    <t>Who is in it</t>
  </si>
  <si>
    <t>Must have?</t>
  </si>
  <si>
    <t>Getting ready</t>
  </si>
  <si>
    <t>Dress hanging</t>
  </si>
  <si>
    <t>Putting on the veil</t>
  </si>
  <si>
    <t>Partner 1 + mother</t>
  </si>
  <si>
    <t>Rings, shoes and invitation flat-lay</t>
  </si>
  <si>
    <t>First look with parent</t>
  </si>
  <si>
    <t>Partner 1 + parent</t>
  </si>
  <si>
    <t>Walking down the aisle</t>
  </si>
  <si>
    <t>Partner 1 + escort</t>
  </si>
  <si>
    <t>The vows</t>
  </si>
  <si>
    <t>Ring exchange</t>
  </si>
  <si>
    <t>First kiss</t>
  </si>
  <si>
    <t>Walking back up the aisle</t>
  </si>
  <si>
    <t>Family</t>
  </si>
  <si>
    <t>Couple + both sets of parents</t>
  </si>
  <si>
    <t>Couple + 4</t>
  </si>
  <si>
    <t>Couple + Partner 1 immediate family</t>
  </si>
  <si>
    <t>Couple + family</t>
  </si>
  <si>
    <t>Couple + Partner 2 immediate family</t>
  </si>
  <si>
    <t>Couple + grandparents</t>
  </si>
  <si>
    <t>Whole family group</t>
  </si>
  <si>
    <t>Full wedding party</t>
  </si>
  <si>
    <t>Couple + party</t>
  </si>
  <si>
    <t>Partner 1 + bridesmaids</t>
  </si>
  <si>
    <t>Partner 2 + groomsmen</t>
  </si>
  <si>
    <t>Golden hour portraits</t>
  </si>
  <si>
    <t>Quiet moment alone</t>
  </si>
  <si>
    <t>Details</t>
  </si>
  <si>
    <t>Table settings before guests enter</t>
  </si>
  <si>
    <t>The cake</t>
  </si>
  <si>
    <t>Flowers and stationery</t>
  </si>
  <si>
    <t>Speeches and reactions</t>
  </si>
  <si>
    <t>Dance floor packed</t>
  </si>
  <si>
    <t>Sparkler or confetti send-off</t>
  </si>
  <si>
    <t>Family group shots take about 3 minutes each — 14 groups is roughly 45 minutes of your day. Cut the list if your timeline is tight.</t>
  </si>
  <si>
    <t>Vows &amp; speeches</t>
  </si>
  <si>
    <t>Who speaks, in what order, for how long — and whether they have actually written it yet.</t>
  </si>
  <si>
    <t>Speaker</t>
  </si>
  <si>
    <t>Order</t>
  </si>
  <si>
    <t>Target length</t>
  </si>
  <si>
    <t>Drafted?</t>
  </si>
  <si>
    <t>Practised?</t>
  </si>
  <si>
    <t>Bride — vows</t>
  </si>
  <si>
    <t>2 min</t>
  </si>
  <si>
    <t>Groom — vows</t>
  </si>
  <si>
    <t>Tom Hale</t>
  </si>
  <si>
    <t>Father of the bride</t>
  </si>
  <si>
    <t>5 min</t>
  </si>
  <si>
    <t>Groom — speech</t>
  </si>
  <si>
    <t>Best man</t>
  </si>
  <si>
    <t>Maid of honour</t>
  </si>
  <si>
    <t>3 min</t>
  </si>
  <si>
    <t>Five minutes is about 650 words. Speeches run long — ask everyone to time themselves out loud, not in their head.</t>
  </si>
  <si>
    <t>Emergency kit &amp; packing</t>
  </si>
  <si>
    <t>The bag someone hands you when something goes wrong. Tick it off the week before.</t>
  </si>
  <si>
    <t>Who brings it</t>
  </si>
  <si>
    <t>Packed?</t>
  </si>
  <si>
    <t>Repairs</t>
  </si>
  <si>
    <t>Safety pins, assorted</t>
  </si>
  <si>
    <t>Sewing kit with matching thread</t>
  </si>
  <si>
    <t>Fashion tape</t>
  </si>
  <si>
    <t>Superglue</t>
  </si>
  <si>
    <t>Stain remover pen</t>
  </si>
  <si>
    <t>Lint roller</t>
  </si>
  <si>
    <t>Beauty</t>
  </si>
  <si>
    <t>Your lipstick for touch-ups</t>
  </si>
  <si>
    <t>Powder &amp; blotting papers</t>
  </si>
  <si>
    <t>Hairspray &amp; grips</t>
  </si>
  <si>
    <t>Deodorant</t>
  </si>
  <si>
    <t>Nail file &amp; clear polish</t>
  </si>
  <si>
    <t>Health</t>
  </si>
  <si>
    <t>Painkillers</t>
  </si>
  <si>
    <t>Antacid</t>
  </si>
  <si>
    <t>Plasters / blister patches</t>
  </si>
  <si>
    <t>Tissues</t>
  </si>
  <si>
    <t>Water bottles</t>
  </si>
  <si>
    <t>Snacks — you will forget to eat</t>
  </si>
  <si>
    <t>Practical</t>
  </si>
  <si>
    <t>Phone charger &amp; battery pack</t>
  </si>
  <si>
    <t>Cash for tips</t>
  </si>
  <si>
    <t>Copy of the itinerary</t>
  </si>
  <si>
    <t>Contacts sheet printed</t>
  </si>
  <si>
    <t>Umbrellas</t>
  </si>
  <si>
    <t>Flat shoes for later</t>
  </si>
  <si>
    <t>Documents</t>
  </si>
  <si>
    <t>Marriage licence</t>
  </si>
  <si>
    <t>Rings</t>
  </si>
  <si>
    <t>Vows — printed, not on a phone</t>
  </si>
  <si>
    <t>Give this bag to your maid of honour or best man on the morning — not to yourself. You will not be carrying anything.</t>
  </si>
  <si>
    <t>Rehearsal dinner</t>
  </si>
  <si>
    <t>The night before: who comes, where, and what it costs. Usually the wedding party, immediate family and anyone travelling far.</t>
  </si>
  <si>
    <t>The Hearth, Sonoma</t>
  </si>
  <si>
    <t>Somewhere relaxed — you will be nervous.</t>
  </si>
  <si>
    <t>Calculated as the day before your wedding.</t>
  </si>
  <si>
    <t>7:00 pm</t>
  </si>
  <si>
    <t>Budget</t>
  </si>
  <si>
    <t>Often paid by the hosts rather than the couple.</t>
  </si>
  <si>
    <t>Relationship</t>
  </si>
  <si>
    <t>Invited?</t>
  </si>
  <si>
    <t>Coming?</t>
  </si>
  <si>
    <t>Dietary</t>
  </si>
  <si>
    <t>Parents</t>
  </si>
  <si>
    <t>Gift registry</t>
  </si>
  <si>
    <t>What you are asking for and where. Track what has been claimed so you do not end up with three toasters.</t>
  </si>
  <si>
    <t>Store / link</t>
  </si>
  <si>
    <t>Claimed?</t>
  </si>
  <si>
    <t>Dinner service, 12 place</t>
  </si>
  <si>
    <t>Heath Ceramics</t>
  </si>
  <si>
    <t>Copper pan set</t>
  </si>
  <si>
    <t>Divertimenti</t>
  </si>
  <si>
    <t>Stand mixer</t>
  </si>
  <si>
    <t>John Lewis</t>
  </si>
  <si>
    <t>Linen bedding set</t>
  </si>
  <si>
    <t>Piglet in Bed</t>
  </si>
  <si>
    <t>Wine glasses ×8</t>
  </si>
  <si>
    <t>Zalto</t>
  </si>
  <si>
    <t>Honeymoon fund contribution</t>
  </si>
  <si>
    <t>Our registry page</t>
  </si>
  <si>
    <t>Registry value</t>
  </si>
  <si>
    <t>Spread prices widely — guests appreciate options from £20 to £300. Gifts that actually arrive get logged on the Gifts &amp; Thank-yous tab.</t>
  </si>
  <si>
    <t>Gifts &amp; thank-yous</t>
  </si>
  <si>
    <t>Log every gift as it arrives so no thank-you note is forgotten.</t>
  </si>
  <si>
    <t>From</t>
  </si>
  <si>
    <t>Gift</t>
  </si>
  <si>
    <t>Value</t>
  </si>
  <si>
    <t>Received</t>
  </si>
  <si>
    <t>Date sent</t>
  </si>
  <si>
    <t>Dinner service set</t>
  </si>
  <si>
    <t>Weekend spa voucher</t>
  </si>
  <si>
    <t>The Chen family</t>
  </si>
  <si>
    <t>Cash gift</t>
  </si>
  <si>
    <t>Ben &amp; Chloe Park</t>
  </si>
  <si>
    <t>Garden furniture</t>
  </si>
  <si>
    <t>Total received</t>
  </si>
  <si>
    <t>Honeymoon budget</t>
  </si>
  <si>
    <t>Plan the trip the same way: budget, actual, paid.</t>
  </si>
  <si>
    <t>Actual</t>
  </si>
  <si>
    <t>Paid</t>
  </si>
  <si>
    <t>Flights</t>
  </si>
  <si>
    <t>Hotel — 7 nights</t>
  </si>
  <si>
    <t>Transfers</t>
  </si>
  <si>
    <t>Travel insurance</t>
  </si>
  <si>
    <t>Excursions</t>
  </si>
  <si>
    <t>Food &amp; drink</t>
  </si>
  <si>
    <t>Spending money</t>
  </si>
  <si>
    <t>Visas &amp; vaccinations</t>
  </si>
  <si>
    <t>RSVP yes</t>
  </si>
  <si>
    <t>RSVP no</t>
  </si>
  <si>
    <t>RSVP pending</t>
  </si>
  <si>
    <t>Invites sent</t>
  </si>
  <si>
    <t>Invites not sent</t>
  </si>
  <si>
    <t>Budget total</t>
  </si>
  <si>
    <t>Real cost quoted</t>
  </si>
  <si>
    <t>Left to budget</t>
  </si>
  <si>
    <t>Hidden extras (tax/tip/service)</t>
  </si>
  <si>
    <t>Unbudgeted hidden costs</t>
  </si>
  <si>
    <t>Quote creep</t>
  </si>
  <si>
    <t>True total exposure</t>
  </si>
  <si>
    <t>Guests total</t>
  </si>
  <si>
    <t>Tables used</t>
  </si>
  <si>
    <t>Days to go</t>
  </si>
  <si>
    <t>Tasks left</t>
  </si>
  <si>
    <t>Tasks overdue</t>
  </si>
  <si>
    <t>Cash needed this month</t>
  </si>
  <si>
    <t>Cash needed next month</t>
  </si>
  <si>
    <t>Overdue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</si>
</sst>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 mmm"/>
    <numFmt numFmtId="165" formatCode="d mmm yyyy"/>
    <numFmt numFmtId="166" formatCode="&quot;$&quot;#,##0;[Red]-&quot;$&quot;#,##0;&quot;-&quot;"/>
    <numFmt numFmtId="167" formatCode="mmm yyyy"/>
    <numFmt numFmtId="168" formatCode="#,##0;[Red]-#,##0;&quot;-&quot;"/>
    <numFmt numFmtId="169" formatCode="&quot;$&quot;#,##0.00;[Red]-&quot;$&quot;#,##0.00;&quot;-&quot;"/>
  </numFmts>
  <fonts count="41" x14ac:knownFonts="1">
    <font>
      <color theme="1"/>
      <family val="2"/>
      <scheme val="minor"/>
      <sz val="11"/>
      <name val="Calibri"/>
    </font>
    <font>
      <i/>
      <color rgb="FF8E4A34"/>
      <sz val="26"/>
      <name val="Georgia"/>
    </font>
    <font>
      <b/>
      <color rgb="FF8A847C"/>
      <sz val="8"/>
      <name val="Georgia"/>
    </font>
    <font>
      <b/>
      <color rgb="FF8E4A34"/>
      <sz val="7"/>
      <name val="Georgia"/>
    </font>
    <font>
      <b/>
      <color rgb="FF8E4A34"/>
      <sz val="17"/>
      <name val="Georgia"/>
    </font>
    <font>
      <b/>
      <color rgb="FF3D3A37"/>
      <sz val="17"/>
      <name val="Georgia"/>
    </font>
    <font>
      <b/>
      <color rgb="FF9B3B35"/>
      <sz val="17"/>
      <name val="Georgia"/>
    </font>
    <font>
      <b/>
      <color rgb="FF8A847C"/>
      <sz val="7"/>
      <name val="Georgia"/>
    </font>
    <font>
      <color rgb="FF8A847C"/>
      <sz val="7"/>
      <name val="Georgia"/>
    </font>
    <font>
      <color rgb="FF3D3A37"/>
      <sz val="7.5"/>
      <name val="Georgia"/>
    </font>
    <font>
      <b/>
      <color rgb="FF8E4A34"/>
      <sz val="15"/>
      <name val="Georgia"/>
    </font>
    <font>
      <b/>
      <color rgb="FF3D3A37"/>
      <sz val="13"/>
      <name val="Georgia"/>
    </font>
    <font>
      <b/>
      <color rgb="FF3D3A37"/>
      <sz val="7.5"/>
      <name val="Georgia"/>
    </font>
    <font>
      <b/>
      <color rgb="FF8A847C"/>
      <sz val="6"/>
      <name val="Georgia"/>
    </font>
    <font>
      <b/>
      <color rgb="FF8E4A34"/>
      <sz val="14"/>
      <name val="Georgia"/>
    </font>
    <font>
      <color rgb="FF3D3A37"/>
      <sz val="8"/>
      <name val="Georgia"/>
    </font>
    <font>
      <b/>
      <color rgb="FF8E4A34"/>
      <sz val="8"/>
      <name val="Georgia"/>
    </font>
    <font>
      <b/>
      <color rgb="FF9B3B35"/>
      <sz val="7.5"/>
      <name val="Georgia"/>
    </font>
    <font>
      <i/>
      <color rgb="FF8A847C"/>
      <sz val="7"/>
      <name val="Georgia"/>
    </font>
    <font>
      <i/>
      <color rgb="FF8E4A34"/>
      <sz val="22"/>
      <name val="Georgia"/>
    </font>
    <font>
      <color rgb="FF8A847C"/>
      <sz val="9"/>
      <name val="Georgia"/>
    </font>
    <font>
      <b/>
      <color rgb="FF8E4A34"/>
      <sz val="12"/>
      <name val="Georgia"/>
    </font>
    <font>
      <color rgb="FF3D3A37"/>
      <sz val="9.5"/>
      <name val="Georgia"/>
    </font>
    <font>
      <b/>
      <color rgb="FF8E4A34"/>
      <sz val="9.5"/>
      <name val="Georgia"/>
    </font>
    <font>
      <b/>
      <color rgb="FF3D3A37"/>
      <sz val="9.5"/>
      <name val="Georgia"/>
    </font>
    <font>
      <i/>
      <color rgb="FF8A847C"/>
      <sz val="8"/>
      <name val="Georgia"/>
    </font>
    <font>
      <i/>
      <color rgb="FF8A847C"/>
      <sz val="8.5"/>
      <name val="Georgia"/>
    </font>
    <font>
      <b/>
      <color rgb="FF8E4A34"/>
      <sz val="10"/>
      <name val="Georgia"/>
    </font>
    <font>
      <b/>
      <color rgb="FF9B3B35"/>
      <sz val="11"/>
      <name val="Georgia"/>
    </font>
    <font>
      <i/>
      <color rgb="FF8E4A34"/>
      <sz val="13"/>
      <name val="Georgia"/>
    </font>
    <font>
      <b/>
      <color rgb="FF9B3B35"/>
      <sz val="12"/>
      <name val="Georgia"/>
    </font>
    <font>
      <i/>
      <color rgb="FF8A847C"/>
      <sz val="9"/>
      <name val="Georgia"/>
    </font>
    <font>
      <color rgb="FF8A847C"/>
      <sz val="9.5"/>
      <name val="Georgia"/>
    </font>
    <font>
      <b/>
      <color rgb="FFFFFFFF"/>
      <sz val="8"/>
      <name val="Georgia"/>
    </font>
    <font>
      <b/>
      <color rgb="FF3D3A37"/>
      <sz val="12"/>
      <name val="Georgia"/>
    </font>
    <font>
      <i/>
      <color rgb="FF8E4A34"/>
      <sz val="16"/>
      <name val="Georgia"/>
    </font>
    <font>
      <b/>
      <color rgb="FF3D3A37"/>
      <sz val="9"/>
      <name val="Georgia"/>
    </font>
    <font>
      <color rgb="FF8E4A34"/>
      <sz val="7.5"/>
      <name val="Georgia"/>
    </font>
    <font>
      <b/>
      <color rgb="FF3D3A37"/>
      <sz val="8"/>
      <name val="Georgia"/>
    </font>
    <font>
      <i/>
      <color rgb="FF8E4A34"/>
      <sz val="12"/>
      <name val="Georgia"/>
    </font>
    <font>
      <i/>
      <color rgb="FF9B3B35"/>
      <sz val="12"/>
      <name val="Georgia"/>
    </font>
  </fonts>
  <fills count="10">
    <fill>
      <patternFill patternType="none"/>
    </fill>
    <fill>
      <patternFill patternType="gray125"/>
    </fill>
    <fill>
      <patternFill patternType="solid">
        <fgColor rgb="FFFAF5F0"/>
      </patternFill>
    </fill>
    <fill>
      <patternFill patternType="solid">
        <fgColor rgb="FFF0D9CF"/>
      </patternFill>
    </fill>
    <fill>
      <patternFill patternType="solid">
        <fgColor rgb="FFF0E6DC"/>
      </patternFill>
    </fill>
    <fill>
      <patternFill patternType="solid">
        <fgColor rgb="FFDDE7DF"/>
      </patternFill>
    </fill>
    <fill>
      <patternFill patternType="solid">
        <fgColor rgb="FFFFFFFF"/>
      </patternFill>
    </fill>
    <fill>
      <patternFill patternType="solid">
        <fgColor rgb="FFF5EBD9"/>
      </patternFill>
    </fill>
    <fill>
      <patternFill patternType="solid">
        <fgColor rgb="FFFDFBF8"/>
      </patternFill>
    </fill>
    <fill>
      <patternFill patternType="solid">
        <fgColor rgb="FFB5654A"/>
      </patternFill>
    </fill>
  </fills>
  <borders count="15">
    <border>
      <left/>
      <right/>
      <top/>
      <bottom/>
      <diagonal/>
    </border>
    <border>
      <left/>
      <right/>
      <top/>
      <bottom style="medium">
        <color rgb="FFC9A96E"/>
      </bottom>
      <diagonal/>
    </border>
    <border>
      <left/>
      <right/>
      <top/>
      <bottom style="thin">
        <color rgb="FFB5654A"/>
      </bottom>
      <diagonal/>
    </border>
    <border>
      <left style="thin">
        <color rgb="FFE8DCD2"/>
      </left>
      <right/>
      <top/>
      <bottom/>
      <diagonal/>
    </border>
    <border>
      <left/>
      <right style="thin">
        <color rgb="FFE8DCD2"/>
      </right>
      <top/>
      <bottom/>
      <diagonal/>
    </border>
    <border>
      <left style="thin">
        <color rgb="FFE8DCD2"/>
      </left>
      <right/>
      <top/>
      <bottom style="thin">
        <color rgb="FFE8DCD2"/>
      </bottom>
      <diagonal/>
    </border>
    <border>
      <left/>
      <right/>
      <top/>
      <bottom style="thin">
        <color rgb="FFE8DCD2"/>
      </bottom>
      <diagonal/>
    </border>
    <border>
      <left/>
      <right style="thin">
        <color rgb="FFE8DCD2"/>
      </right>
      <top/>
      <bottom style="thin">
        <color rgb="FFE8DCD2"/>
      </bottom>
      <diagonal/>
    </border>
    <border>
      <left/>
      <right/>
      <top/>
      <bottom style="thin">
        <color rgb="FFC9A96E"/>
      </bottom>
      <diagonal/>
    </border>
    <border>
      <left style="thin">
        <color rgb="FFC9A96E"/>
      </left>
      <right style="thin">
        <color rgb="FFC9A96E"/>
      </right>
      <top style="thin">
        <color rgb="FFC9A96E"/>
      </top>
      <bottom style="thin">
        <color rgb="FFC9A96E"/>
      </bottom>
      <diagonal/>
    </border>
    <border>
      <left/>
      <right/>
      <top/>
      <bottom style="medium">
        <color rgb="FFB5654A"/>
      </bottom>
      <diagonal/>
    </border>
    <border>
      <left/>
      <right/>
      <top style="medium">
        <color rgb="FFB5654A"/>
      </top>
      <bottom style="thin">
        <color rgb="FFB5654A"/>
      </bottom>
      <diagonal/>
    </border>
    <border>
      <left style="thin">
        <color rgb="FFE8DCD2"/>
      </left>
      <right style="thin">
        <color rgb="FFE8DCD2"/>
      </right>
      <top style="thin">
        <color rgb="FFE8DCD2"/>
      </top>
      <bottom style="thin">
        <color rgb="FFE8DCD2"/>
      </bottom>
      <diagonal/>
    </border>
    <border>
      <left style="thin">
        <color rgb="FFE8DCD2"/>
      </left>
      <right style="thin">
        <color rgb="FFE8DCD2"/>
      </right>
      <top style="thin">
        <color rgb="FFE8DCD2"/>
      </top>
      <bottom/>
      <diagonal/>
    </border>
    <border>
      <left style="thin">
        <color rgb="FFE8DCD2"/>
      </left>
      <right style="thin">
        <color rgb="FFE8DCD2"/>
      </right>
      <top/>
      <bottom style="thin">
        <color rgb="FFE8DCD2"/>
      </bottom>
      <diagonal/>
    </border>
  </borders>
  <cellStyleXfs count="1">
    <xf numFmtId="0" fontId="0" fillId="0" borderId="0"/>
  </cellStyleXfs>
  <cellXfs count="118">
    <xf numFmtId="0" fontId="0" fillId="0" borderId="0" xfId="0"/>
    <xf numFmtId="0" fontId="0" fillId="2" borderId="0" xfId="0" applyFill="1"/>
    <xf numFmtId="0" fontId="0" fillId="3" borderId="0" xfId="0" applyFill="1"/>
    <xf numFmtId="0" fontId="1" fillId="3" borderId="0" xfId="0" applyFont="1" applyFill="1" applyAlignment="1">
      <alignment horizontal="center" vertical="center"/>
    </xf>
    <xf numFmtId="0" fontId="2" fillId="3" borderId="0" xfId="0" applyFont="1" applyFill="1" applyAlignment="1">
      <alignment horizontal="center"/>
    </xf>
    <xf numFmtId="0" fontId="0" fillId="3" borderId="1" xfId="0" applyFill="1" applyBorder="1"/>
    <xf numFmtId="0" fontId="3"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4" borderId="3" xfId="0" applyFont="1" applyFill="1" applyBorder="1" applyAlignment="1">
      <alignment horizontal="center" vertical="center"/>
    </xf>
    <xf numFmtId="0" fontId="6" fillId="5" borderId="3" xfId="0" applyFont="1" applyFill="1" applyBorder="1" applyAlignment="1">
      <alignment horizontal="center" vertical="center"/>
    </xf>
    <xf numFmtId="0" fontId="7" fillId="6" borderId="3" xfId="0" applyFont="1" applyFill="1" applyBorder="1" applyAlignment="1">
      <alignment horizontal="center"/>
    </xf>
    <xf numFmtId="164" fontId="8" fillId="6" borderId="3" xfId="0" applyNumberFormat="1" applyFont="1" applyFill="1" applyBorder="1" applyAlignment="1">
      <alignment horizontal="center" vertical="center"/>
    </xf>
    <xf numFmtId="0" fontId="9" fillId="6" borderId="0" xfId="0" applyFont="1" applyFill="1" applyAlignment="1">
      <alignment vertical="center"/>
    </xf>
    <xf numFmtId="0" fontId="0" fillId="6" borderId="3" xfId="0" applyFill="1" applyBorder="1"/>
    <xf numFmtId="0" fontId="0" fillId="6" borderId="0" xfId="0" applyFill="1"/>
    <xf numFmtId="0" fontId="0" fillId="6" borderId="4" xfId="0" applyFill="1" applyBorder="1"/>
    <xf numFmtId="0" fontId="10" fillId="6" borderId="3" xfId="0" applyFont="1" applyFill="1" applyBorder="1" applyAlignment="1">
      <alignment horizontal="center" vertical="center"/>
    </xf>
    <xf numFmtId="0" fontId="11" fillId="6" borderId="3" xfId="0" applyFont="1" applyFill="1" applyBorder="1" applyAlignment="1">
      <alignment horizontal="center" vertical="center"/>
    </xf>
    <xf numFmtId="0" fontId="0" fillId="6" borderId="5" xfId="0" applyFill="1" applyBorder="1"/>
    <xf numFmtId="0" fontId="0" fillId="6" borderId="6" xfId="0" applyFill="1" applyBorder="1"/>
    <xf numFmtId="0" fontId="0" fillId="6" borderId="7" xfId="0" applyFill="1" applyBorder="1"/>
    <xf numFmtId="0" fontId="7" fillId="6" borderId="5" xfId="0" applyFont="1" applyFill="1" applyBorder="1" applyAlignment="1">
      <alignment horizontal="center" vertical="center"/>
    </xf>
    <xf numFmtId="0" fontId="12" fillId="6" borderId="0" xfId="0" applyFont="1" applyFill="1" applyAlignment="1">
      <alignment horizontal="right" vertical="center" indent="1"/>
    </xf>
    <xf numFmtId="0" fontId="13" fillId="6" borderId="3" xfId="0" applyFont="1" applyFill="1" applyBorder="1" applyAlignment="1">
      <alignment horizontal="center"/>
    </xf>
    <xf numFmtId="0" fontId="13" fillId="6" borderId="0" xfId="0" applyFont="1" applyFill="1" applyAlignment="1">
      <alignment horizontal="center"/>
    </xf>
    <xf numFmtId="0" fontId="14" fillId="6" borderId="3" xfId="0" applyFont="1" applyFill="1" applyBorder="1" applyAlignment="1">
      <alignment horizontal="center" vertical="center"/>
    </xf>
    <xf numFmtId="0" fontId="14" fillId="6" borderId="0" xfId="0" applyFont="1" applyFill="1" applyAlignment="1">
      <alignment horizontal="center" vertical="center"/>
    </xf>
    <xf numFmtId="0" fontId="15" fillId="6" borderId="3" xfId="0" applyFont="1" applyFill="1" applyBorder="1" applyAlignment="1">
      <alignment vertical="center" indent="1"/>
    </xf>
    <xf numFmtId="0" fontId="16" fillId="6" borderId="0" xfId="0" applyFont="1" applyFill="1" applyAlignment="1">
      <alignment horizontal="right" vertical="center" indent="1"/>
    </xf>
    <xf numFmtId="0" fontId="9" fillId="6" borderId="3" xfId="0" applyFont="1" applyFill="1" applyBorder="1" applyAlignment="1">
      <alignment vertical="center" indent="1"/>
    </xf>
    <xf numFmtId="0" fontId="12" fillId="6" borderId="3" xfId="0" applyFont="1" applyFill="1" applyBorder="1" applyAlignment="1">
      <alignment vertical="center" indent="1"/>
    </xf>
    <xf numFmtId="0" fontId="17" fillId="6" borderId="0" xfId="0" applyFont="1" applyFill="1" applyAlignment="1">
      <alignment horizontal="right" vertical="center" indent="1"/>
    </xf>
    <xf numFmtId="0" fontId="18" fillId="6" borderId="3" xfId="0" applyFont="1" applyFill="1" applyBorder="1" applyAlignment="1">
      <alignment horizontal="center" vertical="center"/>
    </xf>
    <xf numFmtId="0" fontId="8" fillId="2" borderId="0" xfId="0" applyFont="1" applyFill="1"/>
    <xf numFmtId="0" fontId="19" fillId="2" borderId="0" xfId="0" applyFont="1" applyFill="1" applyAlignment="1">
      <alignment vertical="center"/>
    </xf>
    <xf numFmtId="0" fontId="20" fillId="2" borderId="0" xfId="0" applyFont="1" applyFill="1" applyAlignment="1">
      <alignment vertical="center"/>
    </xf>
    <xf numFmtId="0" fontId="0" fillId="2" borderId="8" xfId="0" applyFill="1" applyBorder="1"/>
    <xf numFmtId="0" fontId="21" fillId="6" borderId="2" xfId="0" applyFont="1" applyFill="1" applyBorder="1"/>
    <xf numFmtId="0" fontId="22" fillId="6" borderId="0" xfId="0" applyFont="1" applyFill="1" applyAlignment="1">
      <alignment vertical="top" wrapText="1" indent="1"/>
    </xf>
    <xf numFmtId="0" fontId="23" fillId="6" borderId="6" xfId="0" applyFont="1" applyFill="1" applyBorder="1" applyAlignment="1">
      <alignment vertical="center" indent="1"/>
    </xf>
    <xf numFmtId="0" fontId="24" fillId="7" borderId="8" xfId="0" applyFont="1" applyFill="1" applyBorder="1" applyAlignment="1">
      <alignment vertical="center" indent="1"/>
    </xf>
    <xf numFmtId="0" fontId="25" fillId="2" borderId="0" xfId="0" applyFont="1" applyFill="1" applyAlignment="1">
      <alignment vertical="center" wrapText="1"/>
    </xf>
    <xf numFmtId="165" fontId="24" fillId="7" borderId="8" xfId="0" applyNumberFormat="1" applyFont="1" applyFill="1" applyBorder="1" applyAlignment="1">
      <alignment vertical="center" indent="1"/>
    </xf>
    <xf numFmtId="166" fontId="24" fillId="7" borderId="8" xfId="0" applyNumberFormat="1" applyFont="1" applyFill="1" applyBorder="1" applyAlignment="1">
      <alignment vertical="center" indent="1"/>
    </xf>
    <xf numFmtId="0" fontId="24" fillId="2" borderId="0" xfId="0" applyFont="1" applyFill="1"/>
    <xf numFmtId="9" fontId="24" fillId="7" borderId="8" xfId="0" applyNumberFormat="1" applyFont="1" applyFill="1" applyBorder="1" applyAlignment="1">
      <alignment vertical="center" indent="1"/>
    </xf>
    <xf numFmtId="0" fontId="0" fillId="7" borderId="9" xfId="0" applyFill="1" applyBorder="1" applyAlignment="1">
      <alignment indent="1"/>
    </xf>
    <xf numFmtId="0" fontId="25" fillId="2" borderId="0" xfId="0" applyFont="1" applyFill="1"/>
    <xf numFmtId="0" fontId="26" fillId="2" borderId="0" xfId="0" applyFont="1" applyFill="1" applyAlignment="1">
      <alignment vertical="top" wrapText="1" indent="1"/>
    </xf>
    <xf numFmtId="0" fontId="16" fillId="3" borderId="10" xfId="0" applyFont="1" applyFill="1" applyBorder="1" applyAlignment="1">
      <alignment horizontal="left" vertical="center" wrapText="1" indent="1"/>
    </xf>
    <xf numFmtId="0" fontId="16" fillId="3" borderId="10" xfId="0" applyFont="1" applyFill="1" applyBorder="1" applyAlignment="1">
      <alignment horizontal="right" vertical="center" wrapText="1" indent="1"/>
    </xf>
    <xf numFmtId="0" fontId="16" fillId="3" borderId="10" xfId="0" applyFont="1" applyFill="1" applyBorder="1" applyAlignment="1">
      <alignment horizontal="center" vertical="center" wrapText="1"/>
    </xf>
    <xf numFmtId="0" fontId="22" fillId="7" borderId="6" xfId="0" applyFont="1" applyFill="1" applyBorder="1" applyAlignment="1">
      <alignment horizontal="left" vertical="center" indent="1"/>
    </xf>
    <xf numFmtId="0" fontId="22" fillId="7" borderId="6" xfId="0" applyFont="1" applyFill="1" applyBorder="1" applyAlignment="1">
      <alignment horizontal="left" vertical="center"/>
    </xf>
    <xf numFmtId="166" fontId="22" fillId="7" borderId="6" xfId="0" applyNumberFormat="1" applyFont="1" applyFill="1" applyBorder="1" applyAlignment="1">
      <alignment horizontal="right" vertical="center" indent="1"/>
    </xf>
    <xf numFmtId="9" fontId="22" fillId="7" borderId="6" xfId="0" applyNumberFormat="1" applyFont="1" applyFill="1" applyBorder="1" applyAlignment="1">
      <alignment horizontal="center" vertical="center"/>
    </xf>
    <xf numFmtId="0" fontId="22" fillId="7" borderId="6" xfId="0" applyFont="1" applyFill="1" applyBorder="1" applyAlignment="1">
      <alignment horizontal="center" vertical="center"/>
    </xf>
    <xf numFmtId="166" fontId="27" fillId="8" borderId="6" xfId="0" applyNumberFormat="1" applyFont="1" applyFill="1" applyBorder="1" applyAlignment="1">
      <alignment horizontal="right" vertical="center" indent="1"/>
    </xf>
    <xf numFmtId="165" fontId="22" fillId="7" borderId="6" xfId="0" applyNumberFormat="1" applyFont="1" applyFill="1" applyBorder="1" applyAlignment="1">
      <alignment horizontal="center" vertical="center"/>
    </xf>
    <xf numFmtId="166" fontId="22" fillId="8" borderId="6" xfId="0" applyNumberFormat="1" applyFont="1" applyFill="1" applyBorder="1" applyAlignment="1">
      <alignment horizontal="right" vertical="center" indent="1"/>
    </xf>
    <xf numFmtId="166" fontId="27" fillId="6" borderId="6" xfId="0" applyNumberFormat="1" applyFont="1" applyFill="1" applyBorder="1" applyAlignment="1">
      <alignment horizontal="right" vertical="center" indent="1"/>
    </xf>
    <xf numFmtId="166" fontId="22" fillId="6" borderId="6" xfId="0" applyNumberFormat="1" applyFont="1" applyFill="1" applyBorder="1" applyAlignment="1">
      <alignment horizontal="right" vertical="center" indent="1"/>
    </xf>
    <xf numFmtId="0" fontId="23" fillId="3" borderId="11" xfId="0" applyFont="1" applyFill="1" applyBorder="1" applyAlignment="1">
      <alignment horizontal="left" vertical="center" indent="1"/>
    </xf>
    <xf numFmtId="0" fontId="23" fillId="3" borderId="11" xfId="0" applyFont="1" applyFill="1" applyBorder="1" applyAlignment="1">
      <alignment horizontal="right" vertical="center" indent="1"/>
    </xf>
    <xf numFmtId="166" fontId="23" fillId="3" borderId="11" xfId="0" applyNumberFormat="1" applyFont="1" applyFill="1" applyBorder="1" applyAlignment="1">
      <alignment horizontal="right" vertical="center" indent="1"/>
    </xf>
    <xf numFmtId="0" fontId="28" fillId="2" borderId="0" xfId="0" applyFont="1" applyFill="1"/>
    <xf numFmtId="0" fontId="22" fillId="8" borderId="6" xfId="0" applyFont="1" applyFill="1" applyBorder="1" applyAlignment="1">
      <alignment horizontal="left" vertical="center" indent="1"/>
    </xf>
    <xf numFmtId="0" fontId="22" fillId="8" borderId="6" xfId="0" applyFont="1" applyFill="1" applyBorder="1" applyAlignment="1">
      <alignment horizontal="left" vertical="center"/>
    </xf>
    <xf numFmtId="0" fontId="22" fillId="6" borderId="6" xfId="0" applyFont="1" applyFill="1" applyBorder="1" applyAlignment="1">
      <alignment horizontal="left" vertical="center" indent="1"/>
    </xf>
    <xf numFmtId="0" fontId="22" fillId="6" borderId="6" xfId="0" applyFont="1" applyFill="1" applyBorder="1" applyAlignment="1">
      <alignment horizontal="left" vertical="center"/>
    </xf>
    <xf numFmtId="0" fontId="26" fillId="8" borderId="6" xfId="0" applyFont="1" applyFill="1" applyBorder="1" applyAlignment="1">
      <alignment horizontal="left" vertical="center" indent="1"/>
    </xf>
    <xf numFmtId="165" fontId="22" fillId="8" borderId="6" xfId="0" applyNumberFormat="1" applyFont="1" applyFill="1" applyBorder="1" applyAlignment="1">
      <alignment horizontal="center" vertical="center" indent="1"/>
    </xf>
    <xf numFmtId="0" fontId="22" fillId="8" borderId="6" xfId="0" applyFont="1" applyFill="1" applyBorder="1" applyAlignment="1">
      <alignment horizontal="center" vertical="center"/>
    </xf>
    <xf numFmtId="165" fontId="22" fillId="6" borderId="6" xfId="0" applyNumberFormat="1" applyFont="1" applyFill="1" applyBorder="1" applyAlignment="1">
      <alignment horizontal="center" vertical="center" indent="1"/>
    </xf>
    <xf numFmtId="0" fontId="22" fillId="6" borderId="6" xfId="0" applyFont="1" applyFill="1" applyBorder="1" applyAlignment="1">
      <alignment horizontal="center" vertical="center"/>
    </xf>
    <xf numFmtId="0" fontId="29" fillId="2" borderId="0" xfId="0" applyFont="1" applyFill="1"/>
    <xf numFmtId="167" fontId="22" fillId="8" borderId="12" xfId="0" applyNumberFormat="1" applyFont="1" applyFill="1" applyBorder="1" applyAlignment="1">
      <alignment horizontal="center"/>
    </xf>
    <xf numFmtId="166" fontId="23" fillId="8" borderId="12" xfId="0" applyNumberFormat="1" applyFont="1" applyFill="1" applyBorder="1" applyAlignment="1">
      <alignment horizontal="right"/>
    </xf>
    <xf numFmtId="166" fontId="22" fillId="8" borderId="12" xfId="0" applyNumberFormat="1" applyFont="1" applyFill="1" applyBorder="1" applyAlignment="1">
      <alignment horizontal="right"/>
    </xf>
    <xf numFmtId="167" fontId="22" fillId="6" borderId="12" xfId="0" applyNumberFormat="1" applyFont="1" applyFill="1" applyBorder="1" applyAlignment="1">
      <alignment horizontal="center"/>
    </xf>
    <xf numFmtId="166" fontId="23" fillId="6" borderId="12" xfId="0" applyNumberFormat="1" applyFont="1" applyFill="1" applyBorder="1" applyAlignment="1">
      <alignment horizontal="right"/>
    </xf>
    <xf numFmtId="166" fontId="22" fillId="6" borderId="12" xfId="0" applyNumberFormat="1" applyFont="1" applyFill="1" applyBorder="1" applyAlignment="1">
      <alignment horizontal="right"/>
    </xf>
    <xf numFmtId="0" fontId="26" fillId="0" borderId="0" xfId="0" applyFont="1" applyAlignment="1">
      <alignment vertical="top" wrapText="1" indent="1"/>
    </xf>
    <xf numFmtId="164" fontId="22" fillId="7" borderId="6" xfId="0" applyNumberFormat="1" applyFont="1" applyFill="1" applyBorder="1" applyAlignment="1">
      <alignment horizontal="center" vertical="center"/>
    </xf>
    <xf numFmtId="9" fontId="22" fillId="8" borderId="6" xfId="0" applyNumberFormat="1" applyFont="1" applyFill="1" applyBorder="1" applyAlignment="1">
      <alignment horizontal="center" vertical="center"/>
    </xf>
    <xf numFmtId="9" fontId="22" fillId="6" borderId="6" xfId="0" applyNumberFormat="1" applyFont="1" applyFill="1" applyBorder="1" applyAlignment="1">
      <alignment horizontal="center" vertical="center"/>
    </xf>
    <xf numFmtId="9" fontId="23" fillId="3" borderId="11" xfId="0" applyNumberFormat="1" applyFont="1" applyFill="1" applyBorder="1" applyAlignment="1">
      <alignment horizontal="right" vertical="center" indent="1"/>
    </xf>
    <xf numFmtId="0" fontId="30" fillId="2" borderId="0" xfId="0" applyFont="1" applyFill="1"/>
    <xf numFmtId="9" fontId="22" fillId="8" borderId="6" xfId="0" applyNumberFormat="1" applyFont="1" applyFill="1" applyBorder="1" applyAlignment="1">
      <alignment horizontal="right" vertical="center" indent="1"/>
    </xf>
    <xf numFmtId="9" fontId="22" fillId="6" borderId="6" xfId="0" applyNumberFormat="1" applyFont="1" applyFill="1" applyBorder="1" applyAlignment="1">
      <alignment horizontal="right" vertical="center" indent="1"/>
    </xf>
    <xf numFmtId="0" fontId="31" fillId="2" borderId="0" xfId="0" applyFont="1" applyFill="1"/>
    <xf numFmtId="0" fontId="32" fillId="8" borderId="6" xfId="0" applyFont="1" applyFill="1" applyBorder="1" applyAlignment="1">
      <alignment horizontal="center" vertical="center" indent="1"/>
    </xf>
    <xf numFmtId="0" fontId="32" fillId="6" borderId="6" xfId="0" applyFont="1" applyFill="1" applyBorder="1" applyAlignment="1">
      <alignment horizontal="center" vertical="center" indent="1"/>
    </xf>
    <xf numFmtId="0" fontId="33" fillId="9" borderId="0" xfId="0" applyFont="1" applyFill="1" applyAlignment="1">
      <alignment horizontal="center" vertical="center"/>
    </xf>
    <xf numFmtId="0" fontId="22" fillId="8" borderId="6" xfId="0" applyFont="1" applyFill="1" applyBorder="1" applyAlignment="1">
      <alignment horizontal="center" vertical="center" indent="1"/>
    </xf>
    <xf numFmtId="0" fontId="22" fillId="8" borderId="12" xfId="0" applyFont="1" applyFill="1" applyBorder="1" applyAlignment="1">
      <alignment vertical="center" indent="1"/>
    </xf>
    <xf numFmtId="0" fontId="22" fillId="6" borderId="6" xfId="0" applyFont="1" applyFill="1" applyBorder="1" applyAlignment="1">
      <alignment horizontal="center" vertical="center" indent="1"/>
    </xf>
    <xf numFmtId="0" fontId="22" fillId="6" borderId="12" xfId="0" applyFont="1" applyFill="1" applyBorder="1" applyAlignment="1">
      <alignment vertical="center" indent="1"/>
    </xf>
    <xf numFmtId="165" fontId="22" fillId="8" borderId="6" xfId="0" applyNumberFormat="1" applyFont="1" applyFill="1" applyBorder="1" applyAlignment="1">
      <alignment horizontal="center" vertical="center"/>
    </xf>
    <xf numFmtId="165" fontId="22" fillId="6" borderId="6" xfId="0" applyNumberFormat="1" applyFont="1" applyFill="1" applyBorder="1" applyAlignment="1">
      <alignment horizontal="center" vertical="center"/>
    </xf>
    <xf numFmtId="0" fontId="33" fillId="9" borderId="0" xfId="0" applyFont="1" applyFill="1" applyAlignment="1">
      <alignment horizontal="center"/>
    </xf>
    <xf numFmtId="0" fontId="34" fillId="7" borderId="9" xfId="0" applyFont="1" applyFill="1" applyBorder="1" applyAlignment="1">
      <alignment horizontal="center"/>
    </xf>
    <xf numFmtId="0" fontId="35" fillId="2" borderId="0" xfId="0" applyFont="1" applyFill="1" applyAlignment="1">
      <alignment horizontal="center" vertical="center"/>
    </xf>
    <xf numFmtId="0" fontId="36" fillId="6" borderId="13" xfId="0" applyFont="1" applyFill="1" applyBorder="1" applyAlignment="1">
      <alignment horizontal="right" vertical="center" indent="1"/>
    </xf>
    <xf numFmtId="0" fontId="37" fillId="6" borderId="14" xfId="0" applyFont="1" applyFill="1" applyBorder="1" applyAlignment="1">
      <alignment vertical="top" wrapText="1" indent="1"/>
    </xf>
    <xf numFmtId="0" fontId="38" fillId="2" borderId="0" xfId="0" applyFont="1" applyFill="1"/>
    <xf numFmtId="0" fontId="15" fillId="5" borderId="12" xfId="0" applyFont="1" applyFill="1" applyBorder="1" applyAlignment="1">
      <alignment indent="1"/>
    </xf>
    <xf numFmtId="0" fontId="15" fillId="7" borderId="12" xfId="0" applyFont="1" applyFill="1" applyBorder="1" applyAlignment="1">
      <alignment indent="1"/>
    </xf>
    <xf numFmtId="0" fontId="39" fillId="2" borderId="0" xfId="0" applyFont="1" applyFill="1"/>
    <xf numFmtId="0" fontId="23" fillId="8" borderId="6" xfId="0" applyFont="1" applyFill="1" applyBorder="1" applyAlignment="1">
      <alignment horizontal="center" vertical="center"/>
    </xf>
    <xf numFmtId="0" fontId="23" fillId="6" borderId="6" xfId="0" applyFont="1" applyFill="1" applyBorder="1" applyAlignment="1">
      <alignment horizontal="center" vertical="center"/>
    </xf>
    <xf numFmtId="168" fontId="23" fillId="3" borderId="11" xfId="0" applyNumberFormat="1" applyFont="1" applyFill="1" applyBorder="1" applyAlignment="1">
      <alignment horizontal="right" vertical="center" indent="1"/>
    </xf>
    <xf numFmtId="169" fontId="22" fillId="7" borderId="6" xfId="0" applyNumberFormat="1" applyFont="1" applyFill="1" applyBorder="1" applyAlignment="1">
      <alignment horizontal="right" vertical="center" indent="1"/>
    </xf>
    <xf numFmtId="0" fontId="40" fillId="2" borderId="0" xfId="0" applyFont="1" applyFill="1" applyAlignment="1">
      <alignment horizontal="left" vertical="center" wrapText="1" indent="1"/>
    </xf>
    <xf numFmtId="0" fontId="0" fillId="2" borderId="0" xfId="0" applyFill="1" applyAlignment="1">
      <alignment horizontal="left" vertical="center" wrapText="1" indent="1"/>
    </xf>
    <xf numFmtId="0" fontId="22" fillId="7" borderId="6" xfId="0" applyFont="1" applyFill="1" applyBorder="1" applyAlignment="1">
      <alignment horizontal="right" vertical="center" indent="1"/>
    </xf>
    <xf numFmtId="0" fontId="23" fillId="2" borderId="0" xfId="0" applyFont="1" applyFill="1"/>
    <xf numFmtId="0" fontId="23" fillId="0" borderId="0" xfId="0" applyFont="1"/>
  </cellXfs>
  <cellStyles count="1">
    <cellStyle name="Normal" xfId="0" builtinId="0"/>
  </cellStyles>
  <dxfs count="134">
    <dxf>
      <font>
        <b/>
        <color rgb="FF9B3B35"/>
      </font>
      <fill>
        <patternFill patternType="solid">
          <fgColor rgb="FFFFFFFF"/>
        </patternFill>
      </fill>
    </dxf>
    <dxf>
      <font>
        <b/>
        <color rgb="FF9B3B35"/>
      </font>
      <fill>
        <patternFill patternType="solid">
          <fgColor rgb="FFFFFFFF"/>
        </patternFill>
      </fill>
    </dxf>
    <dxf>
      <font>
        <b/>
        <color rgb="FF2F6B3A"/>
      </font>
      <fill>
        <patternFill patternType="solid">
          <fgColor rgb="FFDCEBD8"/>
        </patternFill>
      </fill>
    </dxf>
    <dxf>
      <font>
        <b/>
        <color rgb="FF9B3B35"/>
      </font>
      <fill>
        <patternFill patternType="solid">
          <fgColor rgb="FFF3D4D2"/>
        </patternFill>
      </fill>
    </dxf>
    <dxf>
      <font>
        <b/>
        <color rgb="FF8A5A00"/>
      </font>
      <fill>
        <patternFill patternType="solid">
          <fgColor rgb="FFFBE8CC"/>
        </patternFill>
      </fill>
    </dxf>
    <dxf>
      <font>
        <color rgb="FF2F6B3A"/>
      </font>
      <fill>
        <patternFill patternType="solid">
          <fgColor rgb="FFDCEBD8"/>
        </patternFill>
      </fill>
    </dxf>
    <dxf>
      <font>
        <b/>
        <color rgb="FF9B3B35"/>
      </font>
      <fill>
        <patternFill patternType="solid">
          <fgColor rgb="FFF3D4D2"/>
        </patternFill>
      </fill>
    </dxf>
    <dxf>
      <font>
        <color rgb="FF2F6B3A"/>
      </font>
      <fill>
        <patternFill patternType="solid">
          <fgColor rgb="FFDCEBD8"/>
        </patternFill>
      </fill>
    </dxf>
    <dxf>
      <font>
        <b/>
        <color rgb="FF2F6B3A"/>
      </font>
      <fill>
        <patternFill patternType="solid">
          <fgColor rgb="FFDCEBD8"/>
        </patternFill>
      </fill>
    </dxf>
    <dxf>
      <font>
        <b/>
        <color rgb="FF9B3B35"/>
      </font>
      <fill>
        <patternFill patternType="solid">
          <fgColor rgb="FFF3D4D2"/>
        </patternFill>
      </fill>
    </dxf>
    <dxf>
      <font>
        <color rgb="FF9B3B35"/>
      </font>
      <fill>
        <patternFill patternType="solid">
          <fgColor rgb="FFF3D4D2"/>
        </patternFill>
      </fill>
    </dxf>
    <dxf>
      <font>
        <color rgb="FF2F6B3A"/>
      </font>
      <fill>
        <patternFill patternType="solid">
          <fgColor rgb="FFDCEBD8"/>
        </patternFill>
      </fill>
    </dxf>
    <dxf>
      <font>
        <b/>
        <color rgb="FF2F6B3A"/>
      </font>
      <fill>
        <patternFill patternType="solid">
          <fgColor rgb="FFDCEBD8"/>
        </patternFill>
      </fill>
    </dxf>
    <dxf>
      <font>
        <color rgb="FF9B3B35"/>
      </font>
      <fill>
        <patternFill patternType="solid">
          <fgColor rgb="FFF3D4D2"/>
        </patternFill>
      </fill>
    </dxf>
    <dxf>
      <font>
        <color rgb="FF8A5A00"/>
      </font>
      <fill>
        <patternFill patternType="solid">
          <fgColor rgb="FFFBE8CC"/>
        </patternFill>
      </fill>
    </dxf>
    <dxf>
      <font>
        <color rgb="FF8A5A00"/>
      </font>
      <fill>
        <patternFill patternType="solid">
          <fgColor rgb="FFFBE8CC"/>
        </patternFill>
      </fill>
    </dxf>
    <dxf>
      <font>
        <color rgb="FF8A5A00"/>
      </font>
      <fill>
        <patternFill patternType="solid">
          <fgColor rgb="FFFBE8CC"/>
        </patternFill>
      </fill>
    </dxf>
    <dxf>
      <font>
        <b/>
        <color rgb="FF8E4A34"/>
      </font>
      <fill>
        <patternFill patternType="solid">
          <fgColor rgb="FFF0D9CF"/>
        </patternFill>
      </fill>
    </dxf>
    <dxf>
      <font>
        <b/>
        <color rgb="FF9B3B35"/>
      </font>
      <fill>
        <patternFill patternType="solid">
          <fgColor rgb="FFF3D4D2"/>
        </patternFill>
      </fill>
    </dxf>
    <dxf>
      <font>
        <color rgb="FF2F6B3A"/>
      </font>
      <fill>
        <patternFill patternType="solid">
          <fgColor rgb="FFDCEBD8"/>
        </patternFill>
      </fill>
    </dxf>
    <dxf>
      <font>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color rgb="FF8A847C"/>
        <strike/>
      </font>
      <fill>
        <patternFill patternType="solid">
          <fgColor rgb="FFF0D9CF"/>
        </patternFill>
      </fill>
    </dxf>
    <dxf>
      <font>
        <b/>
        <color rgb="FF9B3B35"/>
      </font>
      <fill>
        <patternFill patternType="solid">
          <fgColor rgb="FFF3D4D2"/>
        </patternFill>
      </fill>
    </dxf>
    <dxf>
      <font>
        <b/>
        <color rgb="FF8A5A00"/>
      </font>
      <fill>
        <patternFill patternType="solid">
          <fgColor rgb="FFFBE8CC"/>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ill>
        <patternFill patternType="solid">
          <fgColor rgb="FFF5EBD9"/>
        </patternFill>
      </fill>
    </dxf>
    <dxf>
      <font>
        <b/>
        <color rgb="FF9B3B35"/>
      </font>
      <fill>
        <patternFill patternType="solid">
          <fgColor rgb="FFDDE7DF"/>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color rgb="FF2F6B3A"/>
      </font>
      <fill>
        <patternFill patternType="solid">
          <fgColor rgb="FFDCEBD8"/>
        </patternFill>
      </fill>
    </dxf>
    <dxf>
      <font>
        <color rgb="FF9B3B35"/>
      </font>
      <fill>
        <patternFill patternType="solid">
          <fgColor rgb="FFF3D4D2"/>
        </patternFill>
      </fill>
    </dxf>
    <dxf>
      <font>
        <b/>
        <color rgb="FF2F6B3A"/>
      </font>
      <fill>
        <patternFill patternType="solid">
          <fgColor rgb="FFDCEBD8"/>
        </patternFill>
      </fill>
    </dxf>
    <dxf>
      <font>
        <color rgb="FF3D3A37"/>
      </font>
      <fill>
        <patternFill patternType="solid">
          <fgColor rgb="FFFFFFFF"/>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3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6.xml"/><Relationship Id="rId10" Type="http://schemas.openxmlformats.org/officeDocument/2006/relationships/worksheet" Target="worksheets/sheet5.xml"/><Relationship Id="rId11" Type="http://schemas.openxmlformats.org/officeDocument/2006/relationships/worksheet" Target="worksheets/sheet7.xml"/><Relationship Id="rId12" Type="http://schemas.openxmlformats.org/officeDocument/2006/relationships/worksheet" Target="worksheets/sheet8.xml"/><Relationship Id="rId13" Type="http://schemas.openxmlformats.org/officeDocument/2006/relationships/worksheet" Target="worksheets/sheet9.xml"/><Relationship Id="rId14" Type="http://schemas.openxmlformats.org/officeDocument/2006/relationships/worksheet" Target="worksheets/sheet10.xml"/><Relationship Id="rId15" Type="http://schemas.openxmlformats.org/officeDocument/2006/relationships/worksheet" Target="worksheets/sheet18.xml"/><Relationship Id="rId16" Type="http://schemas.openxmlformats.org/officeDocument/2006/relationships/worksheet" Target="worksheets/sheet11.xml"/><Relationship Id="rId17" Type="http://schemas.openxmlformats.org/officeDocument/2006/relationships/worksheet" Target="worksheets/sheet12.xml"/><Relationship Id="rId18" Type="http://schemas.openxmlformats.org/officeDocument/2006/relationships/worksheet" Target="worksheets/sheet13.xml"/><Relationship Id="rId19" Type="http://schemas.openxmlformats.org/officeDocument/2006/relationships/worksheet" Target="worksheets/sheet19.xml"/><Relationship Id="rId20" Type="http://schemas.openxmlformats.org/officeDocument/2006/relationships/worksheet" Target="worksheets/sheet23.xml"/><Relationship Id="rId21" Type="http://schemas.openxmlformats.org/officeDocument/2006/relationships/worksheet" Target="worksheets/sheet20.xml"/><Relationship Id="rId22" Type="http://schemas.openxmlformats.org/officeDocument/2006/relationships/worksheet" Target="worksheets/sheet24.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14.xml"/><Relationship Id="rId26" Type="http://schemas.openxmlformats.org/officeDocument/2006/relationships/worksheet" Target="worksheets/sheet15.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6.xml"/><Relationship Id="rId30" Type="http://schemas.openxmlformats.org/officeDocument/2006/relationships/worksheet" Target="worksheets/sheet25.xml"/><Relationship Id="rId31" Type="http://schemas.openxmlformats.org/officeDocument/2006/relationships/worksheet" Target="worksheets/sheet16.xml"/><Relationship Id="rId32" Type="http://schemas.openxmlformats.org/officeDocument/2006/relationships/worksheet" Target="worksheets/sheet17.xml"/><Relationship Id="rId33" Type="http://schemas.openxmlformats.org/officeDocument/2006/relationships/worksheet" Target="worksheets/sheet29.xml"/></Relationships>
</file>

<file path=xl/charts/chart1.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B5654A"/>
              </a:solidFill>
              <a:ln w="12700">
                <a:solidFill>
                  <a:srgbClr val="FFFFFF"/>
                </a:solidFill>
              </a:ln>
            </c:spPr>
          </c:dPt>
          <c:dPt>
            <c:idx val="1"/>
            <c:bubble3D val="0"/>
            <c:spPr>
              <a:solidFill>
                <a:srgbClr val="6E8B74"/>
              </a:solidFill>
              <a:ln w="12700">
                <a:solidFill>
                  <a:srgbClr val="FFFFFF"/>
                </a:solidFill>
              </a:ln>
            </c:spPr>
          </c:dPt>
          <c:dPt>
            <c:idx val="2"/>
            <c:bubble3D val="0"/>
            <c:spPr>
              <a:solidFill>
                <a:srgbClr val="F0E6DC"/>
              </a:solidFill>
              <a:ln w="12700">
                <a:solidFill>
                  <a:srgbClr val="FFFFFF"/>
                </a:solidFill>
              </a:ln>
            </c:spPr>
          </c:dPt>
          <c:dLbls>
            <c:showLegendKey val="0"/>
            <c:showVal val="0"/>
            <c:showCatName val="0"/>
            <c:showSerName val="0"/>
            <c:showPercent val="0"/>
            <c:showBubbleSize val="0"/>
          </c:dLbls>
          <c:cat>
            <c:strRef>
              <c:f>'Data'!$A$2:$A$4</c:f>
            </c:strRef>
          </c:cat>
          <c:val>
            <c:numRef>
              <c:f>'Data'!$B$2:$B$4</c:f>
            </c:numRef>
          </c:val>
        </c:ser>
        <c:firstSliceAng val="0"/>
        <c:holeSize val="62"/>
      </c:doughnutChart>
      <c:spPr>
        <a:noFill/>
        <a:ln>
          <a:noFill/>
        </a:ln>
      </c:spPr>
    </c:plotArea>
    <c:plotVisOnly val="1"/>
    <c:dispBlanksAs val="gap"/>
  </c:chart>
  <c:spPr>
    <a:noFill/>
    <a:ln>
      <a:noFill/>
    </a:ln>
  </c:spPr>
</c:chartSpace>
</file>

<file path=xl/charts/chart2.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C9A96E"/>
              </a:solidFill>
              <a:ln w="12700">
                <a:solidFill>
                  <a:srgbClr val="FFFFFF"/>
                </a:solidFill>
              </a:ln>
            </c:spPr>
          </c:dPt>
          <c:dPt>
            <c:idx val="1"/>
            <c:bubble3D val="0"/>
            <c:spPr>
              <a:solidFill>
                <a:srgbClr val="F0E6DC"/>
              </a:solidFill>
              <a:ln w="12700">
                <a:solidFill>
                  <a:srgbClr val="FFFFFF"/>
                </a:solidFill>
              </a:ln>
            </c:spPr>
          </c:dPt>
          <c:dLbls>
            <c:showLegendKey val="0"/>
            <c:showVal val="0"/>
            <c:showCatName val="0"/>
            <c:showSerName val="0"/>
            <c:showPercent val="0"/>
            <c:showBubbleSize val="0"/>
          </c:dLbls>
          <c:cat>
            <c:strRef>
              <c:f>'Data'!$A$7:$A$8</c:f>
            </c:strRef>
          </c:cat>
          <c:val>
            <c:numRef>
              <c:f>'Data'!$B$7:$B$8</c:f>
            </c:numRef>
          </c:val>
        </c:ser>
        <c:firstSliceAng val="0"/>
        <c:holeSize val="62"/>
      </c:doughnutChart>
      <c:spPr>
        <a:noFill/>
        <a:ln>
          <a:noFill/>
        </a:ln>
      </c:spPr>
    </c:plotArea>
    <c:plotVisOnly val="1"/>
    <c:dispBlanksAs val="gap"/>
  </c:chart>
  <c:spPr>
    <a:noFill/>
    <a:ln>
      <a:noFill/>
    </a:ln>
  </c:spPr>
</c:chartSpace>
</file>

<file path=xl/charts/chart3.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barChart>
        <c:barDir val="col"/>
        <c:grouping val="clustered"/>
        <c:varyColors val="0"/>
        <c:ser>
          <c:idx val="0"/>
          <c:order val="0"/>
          <c:tx>
            <c:v>Cash needed</c:v>
          </c:tx>
          <c:spPr>
            <a:solidFill>
              <a:srgbClr val="B5654A"/>
            </a:solidFill>
            <a:ln>
              <a:noFill/>
            </a:ln>
          </c:spPr>
          <c:dLbls>
            <c:showLegendKey val="0"/>
            <c:showVal val="0"/>
            <c:showCatName val="0"/>
            <c:showSerName val="0"/>
            <c:showPercent val="0"/>
            <c:showBubbleSize val="0"/>
          </c:dLbls>
          <c:cat>
            <c:strRef>
              <c:f>'Data'!$A$67:$A$78</c:f>
            </c:strRef>
          </c:cat>
          <c:val>
            <c:numRef>
              <c:f>'Data'!$B$67:$B$78</c:f>
            </c:numRef>
          </c:val>
        </c:ser>
        <c:gapWidth val="45"/>
        <c:overlap val="-10"/>
        <c:axId val="111"/>
        <c:axId val="222"/>
      </c:barChart>
      <c:catAx>
        <c:axId val="111"/>
        <c:scaling>
          <c:orientation val="minMax"/>
        </c:scaling>
        <c:delete val="0"/>
        <c:axPos val="b"/>
        <c:majorTickMark val="none"/>
        <c:minorTickMark val="none"/>
        <c:tickLblPos val="low"/>
        <c:spPr>
          <a:ln>
            <a:noFill/>
          </a:ln>
        </c:spPr>
        <c:txPr>
          <a:bodyPr/>
          <a:p>
            <a:pPr>
              <a:defRPr sz="700" b="0">
                <a:solidFill>
                  <a:srgbClr val="3D3A37"/>
                </a:solidFill>
                <a:latin typeface="Arial"/>
              </a:defRPr>
            </a:pPr>
            <a:endParaRPr lang="en-US"/>
          </a:p>
        </c:txPr>
        <c:crossAx val="222"/>
        <c:crosses val="autoZero"/>
        <c:auto val="1"/>
        <c:lblAlgn val="ctr"/>
        <c:lblOffset val="100"/>
        <c:noMultiLvlLbl val="0"/>
      </c:catAx>
      <c:valAx>
        <c:axId val="222"/>
        <c:scaling>
          <c:orientation val="minMax"/>
        </c:scaling>
        <c:delete val="0"/>
        <c:axPos val="l"/>
        <c:majorGridlines>
          <c:spPr>
            <a:ln w="6350">
              <a:solidFill>
                <a:srgbClr val="EDE8E1"/>
              </a:solidFill>
            </a:ln>
          </c:spPr>
        </c:majorGridlines>
        <c:numFmt formatCode="#,##0" sourceLinked="0"/>
        <c:majorTickMark val="none"/>
        <c:minorTickMark val="none"/>
        <c:tickLblPos val="nextTo"/>
        <c:spPr>
          <a:ln>
            <a:noFill/>
          </a:ln>
        </c:spPr>
        <c:txPr>
          <a:bodyPr/>
          <a:p>
            <a:pPr>
              <a:defRPr sz="700" b="0">
                <a:solidFill>
                  <a:srgbClr val="8A847C"/>
                </a:solidFill>
                <a:latin typeface="Arial"/>
              </a:defRPr>
            </a:pPr>
            <a:endParaRPr lang="en-US"/>
          </a:p>
        </c:txPr>
        <c:crossAx val="111"/>
        <c:crosses val="autoZero"/>
        <c:crossBetween val="between"/>
      </c:valAx>
      <c:spPr>
        <a:noFill/>
        <a:ln>
          <a:noFill/>
        </a:ln>
      </c:spPr>
    </c:plotArea>
    <c:plotVisOnly val="1"/>
    <c:dispBlanksAs val="gap"/>
  </c:chart>
  <c:spPr>
    <a:noFill/>
    <a:ln>
      <a:noFill/>
    </a:ln>
  </c:spPr>
</c:chartSpace>
</file>

<file path=xl/charts/chart4.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barChart>
        <c:barDir val="bar"/>
        <c:grouping val="clustered"/>
        <c:varyColors val="0"/>
        <c:ser>
          <c:idx val="0"/>
          <c:order val="0"/>
          <c:tx>
            <c:v>Budgeted</c:v>
          </c:tx>
          <c:spPr>
            <a:solidFill>
              <a:srgbClr val="F0D9CF"/>
            </a:solidFill>
            <a:ln>
              <a:noFill/>
            </a:ln>
          </c:spPr>
          <c:dLbls>
            <c:showLegendKey val="0"/>
            <c:showVal val="0"/>
            <c:showCatName val="0"/>
            <c:showSerName val="0"/>
            <c:showPercent val="0"/>
            <c:showBubbleSize val="0"/>
          </c:dLbls>
          <c:cat>
            <c:strRef>
              <c:f>'Budget'!$B$6:$B$19</c:f>
            </c:strRef>
          </c:cat>
          <c:val>
            <c:numRef>
              <c:f>'Budget'!$C$6:$C$19</c:f>
            </c:numRef>
          </c:val>
        </c:ser>
        <c:ser>
          <c:idx val="1"/>
          <c:order val="1"/>
          <c:tx>
            <c:v>Real cost</c:v>
          </c:tx>
          <c:spPr>
            <a:solidFill>
              <a:srgbClr val="B5654A"/>
            </a:solidFill>
            <a:ln>
              <a:noFill/>
            </a:ln>
          </c:spPr>
          <c:dLbls>
            <c:showLegendKey val="0"/>
            <c:showVal val="0"/>
            <c:showCatName val="0"/>
            <c:showSerName val="0"/>
            <c:showPercent val="0"/>
            <c:showBubbleSize val="0"/>
          </c:dLbls>
          <c:cat>
            <c:strRef>
              <c:f>'Budget'!$B$6:$B$19</c:f>
            </c:strRef>
          </c:cat>
          <c:val>
            <c:numRef>
              <c:f>'Budget'!$D$6:$D$19</c:f>
            </c:numRef>
          </c:val>
        </c:ser>
        <c:gapWidth val="40"/>
        <c:overlap val="-15"/>
        <c:axId val="111"/>
        <c:axId val="222"/>
      </c:barChart>
      <c:catAx>
        <c:axId val="111"/>
        <c:scaling>
          <c:orientation val="maxMin"/>
        </c:scaling>
        <c:delete val="0"/>
        <c:axPos val="l"/>
        <c:majorTickMark val="none"/>
        <c:minorTickMark val="none"/>
        <c:tickLblPos val="low"/>
        <c:spPr>
          <a:ln>
            <a:noFill/>
          </a:ln>
        </c:spPr>
        <c:txPr>
          <a:bodyPr/>
          <a:p>
            <a:pPr>
              <a:defRPr sz="700" b="0">
                <a:solidFill>
                  <a:srgbClr val="3D3A37"/>
                </a:solidFill>
                <a:latin typeface="Arial"/>
              </a:defRPr>
            </a:pPr>
            <a:endParaRPr lang="en-US"/>
          </a:p>
        </c:txPr>
        <c:crossAx val="222"/>
        <c:crosses val="autoZero"/>
        <c:auto val="1"/>
        <c:lblAlgn val="ctr"/>
        <c:lblOffset val="100"/>
        <c:noMultiLvlLbl val="0"/>
      </c:catAx>
      <c:valAx>
        <c:axId val="222"/>
        <c:scaling>
          <c:orientation val="minMax"/>
        </c:scaling>
        <c:delete val="0"/>
        <c:axPos val="b"/>
        <c:majorGridlines>
          <c:spPr>
            <a:ln w="6350">
              <a:solidFill>
                <a:srgbClr val="EDE8E1"/>
              </a:solidFill>
            </a:ln>
          </c:spPr>
        </c:majorGridlines>
        <c:numFmt formatCode="#,##0" sourceLinked="0"/>
        <c:majorTickMark val="none"/>
        <c:minorTickMark val="none"/>
        <c:tickLblPos val="nextTo"/>
        <c:spPr>
          <a:ln>
            <a:noFill/>
          </a:ln>
        </c:spPr>
        <c:txPr>
          <a:bodyPr/>
          <a:p>
            <a:pPr>
              <a:defRPr sz="700" b="0">
                <a:solidFill>
                  <a:srgbClr val="8A847C"/>
                </a:solidFill>
                <a:latin typeface="Arial"/>
              </a:defRPr>
            </a:pPr>
            <a:endParaRPr lang="en-US"/>
          </a:p>
        </c:txPr>
        <c:crossAx val="111"/>
        <c:crosses val="autoZero"/>
        <c:crossBetween val="between"/>
      </c:valAx>
      <c:spPr>
        <a:noFill/>
        <a:ln>
          <a:noFill/>
        </a:ln>
      </c:spPr>
    </c:plotArea>
    <c:legend>
      <c:legendPos val="b"/>
      <c:overlay val="0"/>
      <c:txPr>
        <a:bodyPr/>
        <a:p>
          <a:pPr>
            <a:defRPr sz="650" b="0">
              <a:solidFill>
                <a:srgbClr val="3D3A37"/>
              </a:solidFill>
              <a:latin typeface="Arial"/>
            </a:defRPr>
          </a:pPr>
          <a:endParaRPr lang="en-US"/>
        </a:p>
      </c:txPr>
    </c:legend>
    <c:plotVisOnly val="1"/>
    <c:dispBlanksAs val="gap"/>
  </c:chart>
  <c:spPr>
    <a:noFill/>
    <a:ln>
      <a:noFill/>
    </a:ln>
  </c:spPr>
</c:chartSpace>
</file>

<file path=xl/charts/chart5.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pieChart>
        <c:varyColors val="1"/>
        <c:ser>
          <c:idx val="0"/>
          <c:order val="0"/>
          <c:dPt>
            <c:idx val="0"/>
            <c:bubble3D val="0"/>
            <c:spPr>
              <a:solidFill>
                <a:srgbClr val="B5654A"/>
              </a:solidFill>
              <a:ln w="12700">
                <a:solidFill>
                  <a:srgbClr val="FFFFFF"/>
                </a:solidFill>
              </a:ln>
            </c:spPr>
          </c:dPt>
          <c:dPt>
            <c:idx val="1"/>
            <c:bubble3D val="0"/>
            <c:spPr>
              <a:solidFill>
                <a:srgbClr val="6E8B74"/>
              </a:solidFill>
              <a:ln w="12700">
                <a:solidFill>
                  <a:srgbClr val="FFFFFF"/>
                </a:solidFill>
              </a:ln>
            </c:spPr>
          </c:dPt>
          <c:dPt>
            <c:idx val="2"/>
            <c:bubble3D val="0"/>
            <c:spPr>
              <a:solidFill>
                <a:srgbClr val="C9A96E"/>
              </a:solidFill>
              <a:ln w="12700">
                <a:solidFill>
                  <a:srgbClr val="FFFFFF"/>
                </a:solidFill>
              </a:ln>
            </c:spPr>
          </c:dPt>
          <c:dPt>
            <c:idx val="3"/>
            <c:bubble3D val="0"/>
            <c:spPr>
              <a:solidFill>
                <a:srgbClr val="B9C7B3"/>
              </a:solidFill>
              <a:ln w="12700">
                <a:solidFill>
                  <a:srgbClr val="FFFFFF"/>
                </a:solidFill>
              </a:ln>
            </c:spPr>
          </c:dPt>
          <c:dPt>
            <c:idx val="4"/>
            <c:bubble3D val="0"/>
            <c:spPr>
              <a:solidFill>
                <a:srgbClr val="D9B5A5"/>
              </a:solidFill>
              <a:ln w="12700">
                <a:solidFill>
                  <a:srgbClr val="FFFFFF"/>
                </a:solidFill>
              </a:ln>
            </c:spPr>
          </c:dPt>
          <c:dPt>
            <c:idx val="5"/>
            <c:bubble3D val="0"/>
            <c:spPr>
              <a:solidFill>
                <a:srgbClr val="A4B39F"/>
              </a:solidFill>
              <a:ln w="12700">
                <a:solidFill>
                  <a:srgbClr val="FFFFFF"/>
                </a:solidFill>
              </a:ln>
            </c:spPr>
          </c:dPt>
          <c:dPt>
            <c:idx val="6"/>
            <c:bubble3D val="0"/>
            <c:spPr>
              <a:solidFill>
                <a:srgbClr val="E8D5CB"/>
              </a:solidFill>
              <a:ln w="12700">
                <a:solidFill>
                  <a:srgbClr val="FFFFFF"/>
                </a:solidFill>
              </a:ln>
            </c:spPr>
          </c:dPt>
          <c:dPt>
            <c:idx val="7"/>
            <c:bubble3D val="0"/>
            <c:spPr>
              <a:solidFill>
                <a:srgbClr val="C4CDB8"/>
              </a:solidFill>
              <a:ln w="12700">
                <a:solidFill>
                  <a:srgbClr val="FFFFFF"/>
                </a:solidFill>
              </a:ln>
            </c:spPr>
          </c:dPt>
          <c:dPt>
            <c:idx val="8"/>
            <c:bubble3D val="0"/>
            <c:spPr>
              <a:solidFill>
                <a:srgbClr val="F0DDD6"/>
              </a:solidFill>
              <a:ln w="12700">
                <a:solidFill>
                  <a:srgbClr val="FFFFFF"/>
                </a:solidFill>
              </a:ln>
            </c:spPr>
          </c:dPt>
          <c:dPt>
            <c:idx val="9"/>
            <c:bubble3D val="0"/>
            <c:spPr>
              <a:solidFill>
                <a:srgbClr val="D3D9C9"/>
              </a:solidFill>
              <a:ln w="12700">
                <a:solidFill>
                  <a:srgbClr val="FFFFFF"/>
                </a:solidFill>
              </a:ln>
            </c:spPr>
          </c:dPt>
          <c:dPt>
            <c:idx val="10"/>
            <c:bubble3D val="0"/>
            <c:spPr>
              <a:solidFill>
                <a:srgbClr val="A98F6E"/>
              </a:solidFill>
              <a:ln w="12700">
                <a:solidFill>
                  <a:srgbClr val="FFFFFF"/>
                </a:solidFill>
              </a:ln>
            </c:spPr>
          </c:dPt>
          <c:dPt>
            <c:idx val="11"/>
            <c:bubble3D val="0"/>
            <c:spPr>
              <a:solidFill>
                <a:srgbClr val="CFC2A9"/>
              </a:solidFill>
              <a:ln w="12700">
                <a:solidFill>
                  <a:srgbClr val="FFFFFF"/>
                </a:solidFill>
              </a:ln>
            </c:spPr>
          </c:dPt>
          <c:dPt>
            <c:idx val="12"/>
            <c:bubble3D val="0"/>
            <c:spPr>
              <a:solidFill>
                <a:srgbClr val="B4A08C"/>
              </a:solidFill>
              <a:ln w="12700">
                <a:solidFill>
                  <a:srgbClr val="FFFFFF"/>
                </a:solidFill>
              </a:ln>
            </c:spPr>
          </c:dPt>
          <c:dPt>
            <c:idx val="13"/>
            <c:bubble3D val="0"/>
            <c:spPr>
              <a:solidFill>
                <a:srgbClr val="E1CFC0"/>
              </a:solidFill>
              <a:ln w="12700">
                <a:solidFill>
                  <a:srgbClr val="FFFFFF"/>
                </a:solidFill>
              </a:ln>
            </c:spPr>
          </c:dPt>
          <c:dLbls>
            <c:numFmt formatCode="0%" sourceLinked="0"/>
            <c:spPr>
              <a:noFill/>
              <a:ln>
                <a:noFill/>
              </a:ln>
            </c:spPr>
            <c:txPr>
              <a:bodyPr/>
              <a:p>
                <a:pPr>
                  <a:defRPr sz="600" b="1">
                    <a:solidFill>
                      <a:srgbClr val="FFFFFF"/>
                    </a:solidFill>
                    <a:latin typeface="Arial"/>
                  </a:defRPr>
                </a:pPr>
                <a:endParaRPr lang="en-US"/>
              </a:p>
            </c:txPr>
            <c:dLblPos val="inEnd"/>
            <c:showLegendKey val="0"/>
            <c:showVal val="0"/>
            <c:showCatName val="0"/>
            <c:showSerName val="0"/>
            <c:showPercent val="1"/>
            <c:showBubbleSize val="0"/>
            <c:showLeaderLines val="0"/>
          </c:dLbls>
          <c:cat>
            <c:strRef>
              <c:f>'Data'!$A$60:$A$64</c:f>
            </c:strRef>
          </c:cat>
          <c:val>
            <c:numRef>
              <c:f>'Data'!$B$60:$B$64</c:f>
            </c:numRef>
          </c:val>
        </c:ser>
        <c:firstSliceAng val="0"/>
      </c:pieChart>
      <c:spPr>
        <a:noFill/>
        <a:ln>
          <a:noFill/>
        </a:ln>
      </c:spPr>
    </c:plotArea>
    <c:legend>
      <c:legendPos val="r"/>
      <c:overlay val="0"/>
      <c:txPr>
        <a:bodyPr/>
        <a:p>
          <a:pPr>
            <a:defRPr sz="600" b="0">
              <a:solidFill>
                <a:srgbClr val="3D3A37"/>
              </a:solidFill>
              <a:latin typeface="Arial"/>
            </a:defRPr>
          </a:pPr>
          <a:endParaRPr lang="en-US"/>
        </a:p>
      </c:txPr>
    </c:legend>
    <c:plotVisOnly val="1"/>
    <c:dispBlanksAs val="gap"/>
  </c:chart>
  <c:spPr>
    <a:noFill/>
    <a:ln>
      <a:noFill/>
    </a:ln>
  </c:spPr>
</c:chartSpace>
</file>

<file path=xl/charts/chart6.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B5654A"/>
              </a:solidFill>
              <a:ln w="12700">
                <a:solidFill>
                  <a:srgbClr val="FFFFFF"/>
                </a:solidFill>
              </a:ln>
            </c:spPr>
          </c:dPt>
          <c:dPt>
            <c:idx val="1"/>
            <c:bubble3D val="0"/>
            <c:spPr>
              <a:solidFill>
                <a:srgbClr val="6E8B74"/>
              </a:solidFill>
              <a:ln w="12700">
                <a:solidFill>
                  <a:srgbClr val="FFFFFF"/>
                </a:solidFill>
              </a:ln>
            </c:spPr>
          </c:dPt>
          <c:dPt>
            <c:idx val="2"/>
            <c:bubble3D val="0"/>
            <c:spPr>
              <a:solidFill>
                <a:srgbClr val="C9A96E"/>
              </a:solidFill>
              <a:ln w="12700">
                <a:solidFill>
                  <a:srgbClr val="FFFFFF"/>
                </a:solidFill>
              </a:ln>
            </c:spPr>
          </c:dPt>
          <c:dPt>
            <c:idx val="3"/>
            <c:bubble3D val="0"/>
            <c:spPr>
              <a:solidFill>
                <a:srgbClr val="B9C7B3"/>
              </a:solidFill>
              <a:ln w="12700">
                <a:solidFill>
                  <a:srgbClr val="FFFFFF"/>
                </a:solidFill>
              </a:ln>
            </c:spPr>
          </c:dPt>
          <c:dPt>
            <c:idx val="4"/>
            <c:bubble3D val="0"/>
            <c:spPr>
              <a:solidFill>
                <a:srgbClr val="D9B5A5"/>
              </a:solidFill>
              <a:ln w="12700">
                <a:solidFill>
                  <a:srgbClr val="FFFFFF"/>
                </a:solidFill>
              </a:ln>
            </c:spPr>
          </c:dPt>
          <c:dPt>
            <c:idx val="5"/>
            <c:bubble3D val="0"/>
            <c:spPr>
              <a:solidFill>
                <a:srgbClr val="A4B39F"/>
              </a:solidFill>
              <a:ln w="12700">
                <a:solidFill>
                  <a:srgbClr val="FFFFFF"/>
                </a:solidFill>
              </a:ln>
            </c:spPr>
          </c:dPt>
          <c:dPt>
            <c:idx val="6"/>
            <c:bubble3D val="0"/>
            <c:spPr>
              <a:solidFill>
                <a:srgbClr val="E8D5CB"/>
              </a:solidFill>
              <a:ln w="12700">
                <a:solidFill>
                  <a:srgbClr val="FFFFFF"/>
                </a:solidFill>
              </a:ln>
            </c:spPr>
          </c:dPt>
          <c:dPt>
            <c:idx val="7"/>
            <c:bubble3D val="0"/>
            <c:spPr>
              <a:solidFill>
                <a:srgbClr val="C4CDB8"/>
              </a:solidFill>
              <a:ln w="12700">
                <a:solidFill>
                  <a:srgbClr val="FFFFFF"/>
                </a:solidFill>
              </a:ln>
            </c:spPr>
          </c:dPt>
          <c:dPt>
            <c:idx val="8"/>
            <c:bubble3D val="0"/>
            <c:spPr>
              <a:solidFill>
                <a:srgbClr val="F0DDD6"/>
              </a:solidFill>
              <a:ln w="12700">
                <a:solidFill>
                  <a:srgbClr val="FFFFFF"/>
                </a:solidFill>
              </a:ln>
            </c:spPr>
          </c:dPt>
          <c:dPt>
            <c:idx val="9"/>
            <c:bubble3D val="0"/>
            <c:spPr>
              <a:solidFill>
                <a:srgbClr val="D3D9C9"/>
              </a:solidFill>
              <a:ln w="12700">
                <a:solidFill>
                  <a:srgbClr val="FFFFFF"/>
                </a:solidFill>
              </a:ln>
            </c:spPr>
          </c:dPt>
          <c:dPt>
            <c:idx val="10"/>
            <c:bubble3D val="0"/>
            <c:spPr>
              <a:solidFill>
                <a:srgbClr val="A98F6E"/>
              </a:solidFill>
              <a:ln w="12700">
                <a:solidFill>
                  <a:srgbClr val="FFFFFF"/>
                </a:solidFill>
              </a:ln>
            </c:spPr>
          </c:dPt>
          <c:dPt>
            <c:idx val="11"/>
            <c:bubble3D val="0"/>
            <c:spPr>
              <a:solidFill>
                <a:srgbClr val="CFC2A9"/>
              </a:solidFill>
              <a:ln w="12700">
                <a:solidFill>
                  <a:srgbClr val="FFFFFF"/>
                </a:solidFill>
              </a:ln>
            </c:spPr>
          </c:dPt>
          <c:dPt>
            <c:idx val="12"/>
            <c:bubble3D val="0"/>
            <c:spPr>
              <a:solidFill>
                <a:srgbClr val="B4A08C"/>
              </a:solidFill>
              <a:ln w="12700">
                <a:solidFill>
                  <a:srgbClr val="FFFFFF"/>
                </a:solidFill>
              </a:ln>
            </c:spPr>
          </c:dPt>
          <c:dPt>
            <c:idx val="13"/>
            <c:bubble3D val="0"/>
            <c:spPr>
              <a:solidFill>
                <a:srgbClr val="E1CFC0"/>
              </a:solidFill>
              <a:ln w="12700">
                <a:solidFill>
                  <a:srgbClr val="FFFFFF"/>
                </a:solidFill>
              </a:ln>
            </c:spPr>
          </c:dPt>
          <c:dLbls>
            <c:showLegendKey val="0"/>
            <c:showVal val="0"/>
            <c:showCatName val="0"/>
            <c:showSerName val="0"/>
            <c:showPercent val="0"/>
            <c:showBubbleSize val="0"/>
          </c:dLbls>
          <c:cat>
            <c:strRef>
              <c:f>'Budget'!$B$6:$B$19</c:f>
            </c:strRef>
          </c:cat>
          <c:val>
            <c:numRef>
              <c:f>'Budget'!$D$6:$D$19</c:f>
            </c:numRef>
          </c:val>
        </c:ser>
        <c:firstSliceAng val="0"/>
        <c:holeSize val="52"/>
      </c:doughnutChart>
      <c:spPr>
        <a:noFill/>
        <a:ln>
          <a:noFill/>
        </a:ln>
      </c:spPr>
    </c:plotArea>
    <c:plotVisOnly val="1"/>
    <c:dispBlanksAs val="gap"/>
  </c:chart>
  <c:spPr>
    <a:noFill/>
    <a:ln>
      <a:noFill/>
    </a:ln>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10</xdr:row>
      <xdr:rowOff>0</xdr:rowOff>
    </xdr:from>
    <xdr:to>
      <xdr:col>21</xdr:col>
      <xdr:colOff>0</xdr:colOff>
      <xdr:row>17</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22</xdr:col>
      <xdr:colOff>0</xdr:colOff>
      <xdr:row>10</xdr:row>
      <xdr:rowOff>0</xdr:rowOff>
    </xdr:from>
    <xdr:to>
      <xdr:col>26</xdr:col>
      <xdr:colOff>0</xdr:colOff>
      <xdr:row>17</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16</xdr:col>
      <xdr:colOff>0</xdr:colOff>
      <xdr:row>21</xdr:row>
      <xdr:rowOff>0</xdr:rowOff>
    </xdr:from>
    <xdr:to>
      <xdr:col>26</xdr:col>
      <xdr:colOff>0</xdr:colOff>
      <xdr:row>34</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16</xdr:col>
      <xdr:colOff>0</xdr:colOff>
      <xdr:row>37</xdr:row>
      <xdr:rowOff>0</xdr:rowOff>
    </xdr:from>
    <xdr:to>
      <xdr:col>26</xdr:col>
      <xdr:colOff>0</xdr:colOff>
      <xdr:row>50</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39</xdr:row>
      <xdr:rowOff>0</xdr:rowOff>
    </xdr:from>
    <xdr:to>
      <xdr:col>8</xdr:col>
      <xdr:colOff>0</xdr:colOff>
      <xdr:row>50</xdr:row>
      <xdr:rowOff>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39</xdr:row>
      <xdr:rowOff>0</xdr:rowOff>
    </xdr:from>
    <xdr:to>
      <xdr:col>15</xdr:col>
      <xdr:colOff>0</xdr:colOff>
      <xdr:row>50</xdr:row>
      <xdr:rowOff>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F40"/>
  <sheetViews>
    <sheetView workbookViewId="0" showGridLines="0" zoomScale="100"/>
  </sheetViews>
  <sheetFormatPr defaultRowHeight="15" outlineLevelRow="0" outlineLevelCol="0" x14ac:dyDescent="55"/>
  <cols>
    <col min="1" max="1" width="3" customWidth="1"/>
    <col min="2" max="2" width="104" customWidth="1"/>
  </cols>
  <sheetData>
    <row r="1" ht="14" customHeight="1" spans="1:6" x14ac:dyDescent="0.25">
      <c r="A1" s="1"/>
      <c r="B1" s="1"/>
      <c r="C1" s="1"/>
      <c r="D1" s="1"/>
      <c r="E1" s="1"/>
      <c r="F1" s="1"/>
    </row>
    <row r="2" ht="38" customHeight="1" spans="1:6" x14ac:dyDescent="0.25">
      <c r="A2" s="1"/>
      <c r="B2" s="34" t="s">
        <v>25</v>
      </c>
      <c r="C2" s="1"/>
      <c r="D2" s="1"/>
      <c r="E2" s="1"/>
      <c r="F2" s="1"/>
    </row>
    <row r="3" ht="18" customHeight="1" spans="1:6" x14ac:dyDescent="0.25">
      <c r="A3" s="1"/>
      <c r="B3" s="35" t="s">
        <v>26</v>
      </c>
      <c r="C3" s="1"/>
      <c r="D3" s="1"/>
      <c r="E3" s="1"/>
      <c r="F3" s="1"/>
    </row>
    <row r="4" ht="10" customHeight="1" spans="1:6" x14ac:dyDescent="0.25">
      <c r="A4" s="1"/>
      <c r="B4" s="36"/>
      <c r="C4" s="1"/>
      <c r="D4" s="1"/>
      <c r="E4" s="1"/>
      <c r="F4" s="1"/>
    </row>
    <row r="5" ht="26" customHeight="1" spans="1:6" x14ac:dyDescent="0.25">
      <c r="A5" s="1"/>
      <c r="B5" s="37" t="s">
        <v>27</v>
      </c>
      <c r="C5" s="1"/>
      <c r="D5" s="1"/>
      <c r="E5" s="1"/>
      <c r="F5" s="1"/>
    </row>
    <row r="6" ht="30" customHeight="1" spans="1:6" x14ac:dyDescent="0.25">
      <c r="A6" s="1"/>
      <c r="B6" s="38" t="s">
        <v>28</v>
      </c>
      <c r="C6" s="1"/>
      <c r="D6" s="1"/>
      <c r="E6" s="1"/>
      <c r="F6" s="1"/>
    </row>
    <row r="7" ht="26" customHeight="1" spans="1:6" x14ac:dyDescent="0.25">
      <c r="A7" s="1"/>
      <c r="B7" s="37" t="s">
        <v>29</v>
      </c>
      <c r="C7" s="1"/>
      <c r="D7" s="1"/>
      <c r="E7" s="1"/>
      <c r="F7" s="1"/>
    </row>
    <row r="8" ht="30" customHeight="1" spans="1:6" x14ac:dyDescent="0.25">
      <c r="A8" s="1"/>
      <c r="B8" s="38" t="s">
        <v>30</v>
      </c>
      <c r="C8" s="1"/>
      <c r="D8" s="1"/>
      <c r="E8" s="1"/>
      <c r="F8" s="1"/>
    </row>
    <row r="9" ht="26" customHeight="1" spans="1:6" x14ac:dyDescent="0.25">
      <c r="A9" s="1"/>
      <c r="B9" s="37" t="s">
        <v>31</v>
      </c>
      <c r="C9" s="1"/>
      <c r="D9" s="1"/>
      <c r="E9" s="1"/>
      <c r="F9" s="1"/>
    </row>
    <row r="10" ht="45" customHeight="1" spans="1:6" x14ac:dyDescent="0.25">
      <c r="A10" s="1"/>
      <c r="B10" s="38" t="s">
        <v>32</v>
      </c>
      <c r="C10" s="1"/>
      <c r="D10" s="1"/>
      <c r="E10" s="1"/>
      <c r="F10" s="1"/>
    </row>
    <row r="11" ht="26" customHeight="1" spans="1:6" x14ac:dyDescent="0.25">
      <c r="A11" s="1"/>
      <c r="B11" s="37" t="s">
        <v>33</v>
      </c>
      <c r="C11" s="1"/>
      <c r="D11" s="1"/>
      <c r="E11" s="1"/>
      <c r="F11" s="1"/>
    </row>
    <row r="12" ht="18" customHeight="1" spans="1:6" x14ac:dyDescent="0.25">
      <c r="A12" s="1"/>
      <c r="B12" s="38" t="s">
        <v>34</v>
      </c>
      <c r="C12" s="1"/>
      <c r="D12" s="1"/>
      <c r="E12" s="1"/>
      <c r="F12" s="1"/>
    </row>
    <row r="13" ht="26" customHeight="1" spans="1:6" x14ac:dyDescent="0.25">
      <c r="A13" s="1"/>
      <c r="B13" s="37" t="s">
        <v>35</v>
      </c>
      <c r="C13" s="1"/>
      <c r="D13" s="1"/>
      <c r="E13" s="1"/>
      <c r="F13" s="1"/>
    </row>
    <row r="14" ht="30" customHeight="1" spans="1:6" x14ac:dyDescent="0.25">
      <c r="A14" s="1"/>
      <c r="B14" s="38" t="s">
        <v>36</v>
      </c>
      <c r="C14" s="1"/>
      <c r="D14" s="1"/>
      <c r="E14" s="1"/>
      <c r="F14" s="1"/>
    </row>
    <row r="15" ht="26" customHeight="1" spans="1:6" x14ac:dyDescent="0.25">
      <c r="A15" s="1"/>
      <c r="B15" s="37" t="s">
        <v>37</v>
      </c>
      <c r="C15" s="1"/>
      <c r="D15" s="1"/>
      <c r="E15" s="1"/>
      <c r="F15" s="1"/>
    </row>
    <row r="16" ht="90" customHeight="1" spans="1:6" x14ac:dyDescent="0.25">
      <c r="A16" s="1"/>
      <c r="B16" s="38" t="s">
        <v>38</v>
      </c>
      <c r="C16" s="1"/>
      <c r="D16" s="1"/>
      <c r="E16" s="1"/>
      <c r="F16" s="1"/>
    </row>
    <row r="17" ht="26" customHeight="1" spans="1:6" x14ac:dyDescent="0.25">
      <c r="A17" s="1"/>
      <c r="B17" s="37" t="s">
        <v>39</v>
      </c>
      <c r="C17" s="1"/>
      <c r="D17" s="1"/>
      <c r="E17" s="1"/>
      <c r="F17" s="1"/>
    </row>
    <row r="18" ht="18" customHeight="1" spans="1:6" x14ac:dyDescent="0.25">
      <c r="A18" s="1"/>
      <c r="B18" s="38" t="s">
        <v>40</v>
      </c>
      <c r="C18" s="1"/>
      <c r="D18" s="1"/>
      <c r="E18" s="1"/>
      <c r="F18" s="1"/>
    </row>
    <row r="19" ht="30" customHeight="1" spans="1:6" x14ac:dyDescent="0.25">
      <c r="A19" s="1"/>
      <c r="B19" s="38" t="s">
        <v>41</v>
      </c>
      <c r="C19" s="1"/>
      <c r="D19" s="1"/>
      <c r="E19" s="1"/>
      <c r="F19" s="1"/>
    </row>
    <row r="20" ht="30" customHeight="1" spans="1:6" x14ac:dyDescent="0.25">
      <c r="A20" s="1"/>
      <c r="B20" s="38" t="s">
        <v>42</v>
      </c>
      <c r="C20" s="1"/>
      <c r="D20" s="1"/>
      <c r="E20" s="1"/>
      <c r="F20" s="1"/>
    </row>
    <row r="21" ht="18" customHeight="1" spans="1:6" x14ac:dyDescent="0.25">
      <c r="A21" s="1"/>
      <c r="B21" s="38" t="s">
        <v>43</v>
      </c>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H40"/>
  <sheetViews>
    <sheetView workbookViewId="0" showGridLines="0" zoomScale="100"/>
  </sheetViews>
  <sheetFormatPr defaultRowHeight="15" outlineLevelRow="0" outlineLevelCol="0" x14ac:dyDescent="55"/>
  <cols>
    <col min="1" max="1" width="3" customWidth="1"/>
    <col min="2" max="2" width="26" customWidth="1"/>
    <col min="3" max="3" width="30" customWidth="1"/>
    <col min="4" max="4" width="3" customWidth="1"/>
    <col min="5" max="5" width="54" customWidth="1"/>
  </cols>
  <sheetData>
    <row r="1" ht="14" customHeight="1" spans="1:8" x14ac:dyDescent="0.25">
      <c r="A1" s="1"/>
      <c r="B1" s="1"/>
      <c r="C1" s="1"/>
      <c r="D1" s="1"/>
      <c r="E1" s="1"/>
      <c r="F1" s="1"/>
      <c r="G1" s="1"/>
      <c r="H1" s="1"/>
    </row>
    <row r="2" ht="38" customHeight="1" spans="1:8" x14ac:dyDescent="0.25">
      <c r="A2" s="1"/>
      <c r="B2" s="34" t="s">
        <v>44</v>
      </c>
      <c r="C2" s="34"/>
      <c r="D2" s="34"/>
      <c r="E2" s="34"/>
      <c r="F2" s="1"/>
      <c r="G2" s="1"/>
      <c r="H2" s="1"/>
    </row>
    <row r="3" ht="18" customHeight="1" spans="1:8" x14ac:dyDescent="0.25">
      <c r="A3" s="1"/>
      <c r="B3" s="35" t="s">
        <v>45</v>
      </c>
      <c r="C3" s="35"/>
      <c r="D3" s="35"/>
      <c r="E3" s="35"/>
      <c r="F3" s="1"/>
      <c r="G3" s="1"/>
      <c r="H3" s="1"/>
    </row>
    <row r="4" ht="10" customHeight="1" spans="1:8" x14ac:dyDescent="0.25">
      <c r="A4" s="1"/>
      <c r="B4" s="36"/>
      <c r="C4" s="36"/>
      <c r="D4" s="36"/>
      <c r="E4" s="36"/>
      <c r="F4" s="1"/>
      <c r="G4" s="1"/>
      <c r="H4" s="1"/>
    </row>
    <row r="5" ht="24" customHeight="1" spans="1:8" x14ac:dyDescent="0.25">
      <c r="A5" s="1"/>
      <c r="B5" s="39" t="s">
        <v>46</v>
      </c>
      <c r="C5" s="40" t="s">
        <v>47</v>
      </c>
      <c r="D5" s="1"/>
      <c r="E5" s="41" t="s">
        <v>48</v>
      </c>
      <c r="F5" s="1"/>
      <c r="G5" s="1"/>
      <c r="H5" s="1"/>
    </row>
    <row r="6" ht="24" customHeight="1" spans="1:8" x14ac:dyDescent="0.25">
      <c r="A6" s="1"/>
      <c r="B6" s="39" t="s">
        <v>49</v>
      </c>
      <c r="C6" s="40" t="s">
        <v>50</v>
      </c>
      <c r="D6" s="1"/>
      <c r="E6" s="1"/>
      <c r="F6" s="1"/>
      <c r="G6" s="1"/>
      <c r="H6" s="1"/>
    </row>
    <row r="7" ht="24" customHeight="1" spans="1:8" x14ac:dyDescent="0.25">
      <c r="A7" s="1"/>
      <c r="B7" s="39" t="s">
        <v>51</v>
      </c>
      <c r="C7" s="42">
        <v>46519</v>
      </c>
      <c r="D7" s="1"/>
      <c r="E7" s="41" t="s">
        <v>52</v>
      </c>
      <c r="F7" s="1"/>
      <c r="G7" s="1"/>
      <c r="H7" s="1"/>
    </row>
    <row r="8" ht="24" customHeight="1" spans="1:8" x14ac:dyDescent="0.25">
      <c r="A8" s="1"/>
      <c r="B8" s="39" t="s">
        <v>53</v>
      </c>
      <c r="C8" s="40" t="s">
        <v>54</v>
      </c>
      <c r="D8" s="1"/>
      <c r="E8" s="41" t="s">
        <v>55</v>
      </c>
      <c r="F8" s="1"/>
      <c r="G8" s="1"/>
      <c r="H8" s="1"/>
    </row>
    <row r="9" ht="24" customHeight="1" spans="1:8" x14ac:dyDescent="0.25">
      <c r="A9" s="1"/>
      <c r="B9" s="39" t="s">
        <v>56</v>
      </c>
      <c r="C9" s="43">
        <v>35000</v>
      </c>
      <c r="D9" s="1"/>
      <c r="E9" s="41" t="s">
        <v>57</v>
      </c>
      <c r="F9" s="1"/>
      <c r="G9" s="1"/>
      <c r="H9" s="1"/>
    </row>
    <row r="10" ht="24" customHeight="1" spans="1:8" x14ac:dyDescent="0.25">
      <c r="A10" s="1"/>
      <c r="B10" s="39" t="s">
        <v>58</v>
      </c>
      <c r="C10" s="40">
        <v>120</v>
      </c>
      <c r="D10" s="1"/>
      <c r="E10" s="1"/>
      <c r="F10" s="1"/>
      <c r="G10" s="1"/>
      <c r="H10" s="1"/>
    </row>
    <row r="11" ht="24" customHeight="1" spans="1:8" x14ac:dyDescent="0.25">
      <c r="A11" s="1"/>
      <c r="B11" s="39" t="s">
        <v>59</v>
      </c>
      <c r="C11" s="40" t="s">
        <v>60</v>
      </c>
      <c r="D11" s="1"/>
      <c r="E11" s="41" t="s">
        <v>61</v>
      </c>
      <c r="F11" s="1"/>
      <c r="G11" s="1"/>
      <c r="H11" s="1"/>
    </row>
    <row r="12" spans="1:8" x14ac:dyDescent="0.25">
      <c r="A12" s="1"/>
      <c r="B12" s="1"/>
      <c r="C12" s="1"/>
      <c r="D12" s="1"/>
      <c r="E12" s="1"/>
      <c r="F12" s="1"/>
      <c r="G12" s="1"/>
      <c r="H12" s="1"/>
    </row>
    <row r="13" ht="20" customHeight="1" spans="1:8" x14ac:dyDescent="0.25">
      <c r="A13" s="1"/>
      <c r="B13" s="44" t="s">
        <v>62</v>
      </c>
      <c r="C13" s="1"/>
      <c r="D13" s="1"/>
      <c r="E13" s="1"/>
      <c r="F13" s="1"/>
      <c r="G13" s="1"/>
      <c r="H13" s="1"/>
    </row>
    <row r="14" ht="24" customHeight="1" spans="1:8" x14ac:dyDescent="0.25">
      <c r="A14" s="1"/>
      <c r="B14" s="39" t="s">
        <v>63</v>
      </c>
      <c r="C14" s="45">
        <v>0.18</v>
      </c>
      <c r="D14" s="1"/>
      <c r="E14" s="41" t="s">
        <v>64</v>
      </c>
      <c r="F14" s="1"/>
      <c r="G14" s="1"/>
      <c r="H14" s="1"/>
    </row>
    <row r="15" ht="24" customHeight="1" spans="1:8" x14ac:dyDescent="0.25">
      <c r="A15" s="1"/>
      <c r="B15" s="39" t="s">
        <v>65</v>
      </c>
      <c r="C15" s="45">
        <v>0.08</v>
      </c>
      <c r="D15" s="1"/>
      <c r="E15" s="41" t="s">
        <v>66</v>
      </c>
      <c r="F15" s="1"/>
      <c r="G15" s="1"/>
      <c r="H15" s="1"/>
    </row>
    <row r="16" ht="24" customHeight="1" spans="1:8" x14ac:dyDescent="0.25">
      <c r="A16" s="1"/>
      <c r="B16" s="39" t="s">
        <v>67</v>
      </c>
      <c r="C16" s="45">
        <v>0.1</v>
      </c>
      <c r="D16" s="1"/>
      <c r="E16" s="41" t="s">
        <v>68</v>
      </c>
      <c r="F16" s="1"/>
      <c r="G16" s="1"/>
      <c r="H16" s="1"/>
    </row>
    <row r="17" spans="1:8" x14ac:dyDescent="0.25">
      <c r="A17" s="1"/>
      <c r="B17" s="1"/>
      <c r="C17" s="1"/>
      <c r="D17" s="1"/>
      <c r="E17" s="1"/>
      <c r="F17" s="1"/>
      <c r="G17" s="1"/>
      <c r="H17" s="1"/>
    </row>
    <row r="18" ht="20" customHeight="1" spans="1:8" x14ac:dyDescent="0.25">
      <c r="A18" s="1"/>
      <c r="B18" s="44" t="s">
        <v>69</v>
      </c>
      <c r="C18" s="1"/>
      <c r="D18" s="1"/>
      <c r="E18" s="1"/>
      <c r="F18" s="1"/>
      <c r="G18" s="1"/>
      <c r="H18" s="1"/>
    </row>
    <row r="19" spans="1:8" x14ac:dyDescent="0.25">
      <c r="A19" s="1"/>
      <c r="B19" s="46" t="s">
        <v>70</v>
      </c>
      <c r="C19" s="47">
        <f>Setup!$C$5&amp;"'s family"</f>
      </c>
      <c r="D19" s="1"/>
      <c r="E19" s="1"/>
      <c r="F19" s="1"/>
      <c r="G19" s="1"/>
      <c r="H19" s="1"/>
    </row>
    <row r="20" spans="1:8" x14ac:dyDescent="0.25">
      <c r="A20" s="1"/>
      <c r="B20" s="46" t="s">
        <v>71</v>
      </c>
      <c r="C20" s="47">
        <f>Setup!$C$6&amp;"'s family"</f>
      </c>
      <c r="D20" s="1"/>
      <c r="E20" s="1"/>
      <c r="F20" s="1"/>
      <c r="G20" s="1"/>
      <c r="H20" s="1"/>
    </row>
    <row r="21" spans="1:8" x14ac:dyDescent="0.25">
      <c r="A21" s="1"/>
      <c r="B21" s="46" t="s">
        <v>72</v>
      </c>
      <c r="C21" s="1"/>
      <c r="D21" s="1"/>
      <c r="E21" s="1"/>
      <c r="F21" s="1"/>
      <c r="G21" s="1"/>
      <c r="H21" s="1"/>
    </row>
    <row r="22" spans="1:8" x14ac:dyDescent="0.25">
      <c r="A22" s="1"/>
      <c r="B22" s="46" t="s">
        <v>73</v>
      </c>
      <c r="C22" s="1"/>
      <c r="D22" s="1"/>
      <c r="E22" s="1"/>
      <c r="F22" s="1"/>
      <c r="G22" s="1"/>
      <c r="H22" s="1"/>
    </row>
    <row r="23" spans="1:8" x14ac:dyDescent="0.25">
      <c r="A23" s="1"/>
      <c r="B23" s="46" t="s">
        <v>74</v>
      </c>
      <c r="C23" s="1"/>
      <c r="D23" s="1"/>
      <c r="E23" s="1"/>
      <c r="F23" s="1"/>
      <c r="G23" s="1"/>
      <c r="H23" s="1"/>
    </row>
    <row r="24" spans="1:8" x14ac:dyDescent="0.25">
      <c r="A24" s="1"/>
      <c r="B24" s="1"/>
      <c r="C24" s="1"/>
      <c r="D24" s="1"/>
      <c r="E24" s="1"/>
      <c r="F24" s="1"/>
      <c r="G24" s="1"/>
      <c r="H24" s="1"/>
    </row>
    <row r="25" spans="1:8" x14ac:dyDescent="0.25">
      <c r="A25" s="1"/>
      <c r="B25" s="1"/>
      <c r="C25" s="1"/>
      <c r="D25" s="1"/>
      <c r="E25" s="1"/>
      <c r="F25" s="1"/>
      <c r="G25" s="1"/>
      <c r="H25" s="1"/>
    </row>
    <row r="26" ht="30" customHeight="1" spans="1:8" x14ac:dyDescent="0.25">
      <c r="A26" s="1"/>
      <c r="B26" s="48" t="s">
        <v>75</v>
      </c>
      <c r="C26" s="48"/>
      <c r="D26" s="48"/>
      <c r="E26" s="48"/>
      <c r="F26" s="1"/>
      <c r="G26" s="1"/>
      <c r="H26" s="1"/>
    </row>
    <row r="27" spans="1:8" x14ac:dyDescent="0.25">
      <c r="A27" s="1"/>
      <c r="B27" s="1"/>
      <c r="C27" s="1"/>
      <c r="D27" s="1"/>
      <c r="E27" s="1"/>
      <c r="F27" s="1"/>
      <c r="G27" s="1"/>
      <c r="H27" s="1"/>
    </row>
    <row r="28" spans="1:8" x14ac:dyDescent="0.25">
      <c r="A28" s="1"/>
      <c r="B28" s="1"/>
      <c r="C28" s="1"/>
      <c r="D28" s="1"/>
      <c r="E28" s="1"/>
      <c r="F28" s="1"/>
      <c r="G28" s="1"/>
      <c r="H28" s="1"/>
    </row>
    <row r="29" spans="1:8" x14ac:dyDescent="0.25">
      <c r="A29" s="1"/>
      <c r="B29" s="1"/>
      <c r="C29" s="1"/>
      <c r="D29" s="1"/>
      <c r="E29" s="1"/>
      <c r="F29" s="1"/>
      <c r="G29" s="1"/>
      <c r="H29" s="1"/>
    </row>
    <row r="30" spans="1:8" x14ac:dyDescent="0.25">
      <c r="A30" s="1"/>
      <c r="B30" s="1"/>
      <c r="C30" s="1"/>
      <c r="D30" s="1"/>
      <c r="E30" s="1"/>
      <c r="F30" s="1"/>
      <c r="G30" s="1"/>
      <c r="H30" s="1"/>
    </row>
    <row r="31" spans="1:8" x14ac:dyDescent="0.25">
      <c r="A31" s="1"/>
      <c r="B31" s="1"/>
      <c r="C31" s="1"/>
      <c r="D31" s="1"/>
      <c r="E31" s="1"/>
      <c r="F31" s="1"/>
      <c r="G31" s="1"/>
      <c r="H31" s="1"/>
    </row>
    <row r="32" spans="1:8" x14ac:dyDescent="0.25">
      <c r="A32" s="1"/>
      <c r="B32" s="1"/>
      <c r="C32" s="1"/>
      <c r="D32" s="1"/>
      <c r="E32" s="1"/>
      <c r="F32" s="1"/>
      <c r="G32" s="1"/>
      <c r="H32" s="1"/>
    </row>
    <row r="33" spans="1:8" x14ac:dyDescent="0.25">
      <c r="A33" s="1"/>
      <c r="B33" s="1"/>
      <c r="C33" s="1"/>
      <c r="D33" s="1"/>
      <c r="E33" s="1"/>
      <c r="F33" s="1"/>
      <c r="G33" s="1"/>
      <c r="H33" s="1"/>
    </row>
    <row r="34" spans="1:8" x14ac:dyDescent="0.25">
      <c r="A34" s="1"/>
      <c r="B34" s="1"/>
      <c r="C34" s="1"/>
      <c r="D34" s="1"/>
      <c r="E34" s="1"/>
      <c r="F34" s="1"/>
      <c r="G34" s="1"/>
      <c r="H34" s="1"/>
    </row>
    <row r="35" spans="1:8" x14ac:dyDescent="0.25">
      <c r="A35" s="1"/>
      <c r="B35" s="1"/>
      <c r="C35" s="1"/>
      <c r="D35" s="1"/>
      <c r="E35" s="1"/>
      <c r="F35" s="1"/>
      <c r="G35" s="1"/>
      <c r="H35" s="1"/>
    </row>
    <row r="36" spans="1:8" x14ac:dyDescent="0.25">
      <c r="A36" s="1"/>
      <c r="B36" s="1"/>
      <c r="C36" s="1"/>
      <c r="D36" s="1"/>
      <c r="E36" s="1"/>
      <c r="F36" s="1"/>
      <c r="G36" s="1"/>
      <c r="H36" s="1"/>
    </row>
    <row r="37" spans="1:8" x14ac:dyDescent="0.25">
      <c r="A37" s="1"/>
      <c r="B37" s="1"/>
      <c r="C37" s="1"/>
      <c r="D37" s="1"/>
      <c r="E37" s="1"/>
      <c r="F37" s="1"/>
      <c r="G37" s="1"/>
      <c r="H37" s="1"/>
    </row>
    <row r="38" spans="1:8" x14ac:dyDescent="0.25">
      <c r="A38" s="1"/>
      <c r="B38" s="1"/>
      <c r="C38" s="1"/>
      <c r="D38" s="1"/>
      <c r="E38" s="1"/>
      <c r="F38" s="1"/>
      <c r="G38" s="1"/>
      <c r="H38" s="1"/>
    </row>
    <row r="39" spans="1:8" x14ac:dyDescent="0.25">
      <c r="A39" s="1"/>
      <c r="B39" s="1"/>
      <c r="C39" s="1"/>
      <c r="D39" s="1"/>
      <c r="E39" s="1"/>
      <c r="F39" s="1"/>
      <c r="G39" s="1"/>
      <c r="H39" s="1"/>
    </row>
    <row r="40" spans="1:8" x14ac:dyDescent="0.25">
      <c r="A40" s="1"/>
      <c r="B40" s="1"/>
      <c r="C40" s="1"/>
      <c r="D40" s="1"/>
      <c r="E40" s="1"/>
      <c r="F40" s="1"/>
      <c r="G40" s="1"/>
      <c r="H40" s="1"/>
    </row>
  </sheetData>
  <mergeCells count="3">
    <mergeCell ref="B2:E2"/>
    <mergeCell ref="B3:E3"/>
    <mergeCell ref="B26:E26"/>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P45"/>
  <sheetViews>
    <sheetView workbookViewId="0" showGridLines="0">
      <pane xSplit="3" ySplit="5" topLeftCell="D6" activePane="bottomRight" state="frozen"/>
      <selection pane="bottomRight"/>
    </sheetView>
  </sheetViews>
  <sheetFormatPr defaultRowHeight="15" outlineLevelRow="0" outlineLevelCol="0" x14ac:dyDescent="55"/>
  <cols>
    <col min="1" max="1" width="3" customWidth="1"/>
    <col min="2" max="2" width="24" customWidth="1"/>
    <col min="3" max="3" width="19" customWidth="1"/>
    <col min="4" max="4" width="13" customWidth="1"/>
    <col min="5" max="6" width="10" customWidth="1"/>
    <col min="8" max="8" width="12" customWidth="1"/>
    <col min="9" max="9" width="15" customWidth="1"/>
    <col min="10" max="13" width="13" customWidth="1"/>
    <col min="14" max="14" width="12" customWidth="1"/>
    <col min="15" max="15" width="26" customWidth="1"/>
    <col min="16" max="16" width="9" hidden="1" customWidth="1"/>
  </cols>
  <sheetData>
    <row r="1" ht="14" customHeight="1" spans="1:16" x14ac:dyDescent="0.25">
      <c r="A1" s="1"/>
      <c r="B1" s="1"/>
      <c r="C1" s="1"/>
      <c r="D1" s="1"/>
      <c r="E1" s="1"/>
      <c r="F1" s="1"/>
      <c r="G1" s="1"/>
      <c r="H1" s="1"/>
      <c r="I1" s="1"/>
      <c r="J1" s="1"/>
      <c r="K1" s="1"/>
      <c r="L1" s="1"/>
      <c r="M1" s="1"/>
      <c r="N1" s="1"/>
      <c r="O1" s="1"/>
      <c r="P1" s="1"/>
    </row>
    <row r="2" ht="38" customHeight="1" spans="1:16" x14ac:dyDescent="0.25">
      <c r="A2" s="1"/>
      <c r="B2" s="34" t="s">
        <v>76</v>
      </c>
      <c r="C2" s="34"/>
      <c r="D2" s="34"/>
      <c r="E2" s="34"/>
      <c r="F2" s="34"/>
      <c r="G2" s="34"/>
      <c r="H2" s="34"/>
      <c r="I2" s="34"/>
      <c r="J2" s="34"/>
      <c r="K2" s="34"/>
      <c r="L2" s="34"/>
      <c r="M2" s="34"/>
      <c r="N2" s="34"/>
      <c r="O2" s="34"/>
      <c r="P2" s="1"/>
    </row>
    <row r="3" ht="18" customHeight="1" spans="1:16" x14ac:dyDescent="0.25">
      <c r="A3" s="1"/>
      <c r="B3" s="35" t="s">
        <v>77</v>
      </c>
      <c r="C3" s="35"/>
      <c r="D3" s="35"/>
      <c r="E3" s="35"/>
      <c r="F3" s="35"/>
      <c r="G3" s="35"/>
      <c r="H3" s="35"/>
      <c r="I3" s="35"/>
      <c r="J3" s="35"/>
      <c r="K3" s="35"/>
      <c r="L3" s="35"/>
      <c r="M3" s="35"/>
      <c r="N3" s="35"/>
      <c r="O3" s="35"/>
      <c r="P3" s="1"/>
    </row>
    <row r="4" ht="10" customHeight="1" spans="1:16" x14ac:dyDescent="0.25">
      <c r="A4" s="1"/>
      <c r="B4" s="36"/>
      <c r="C4" s="36"/>
      <c r="D4" s="36"/>
      <c r="E4" s="36"/>
      <c r="F4" s="36"/>
      <c r="G4" s="36"/>
      <c r="H4" s="36"/>
      <c r="I4" s="36"/>
      <c r="J4" s="36"/>
      <c r="K4" s="36"/>
      <c r="L4" s="36"/>
      <c r="M4" s="36"/>
      <c r="N4" s="36"/>
      <c r="O4" s="36"/>
      <c r="P4" s="1"/>
    </row>
    <row r="5" ht="28" customHeight="1" spans="1:16" x14ac:dyDescent="0.25">
      <c r="A5" s="1"/>
      <c r="B5" s="49" t="s">
        <v>78</v>
      </c>
      <c r="C5" s="49" t="s">
        <v>79</v>
      </c>
      <c r="D5" s="50" t="s">
        <v>80</v>
      </c>
      <c r="E5" s="51" t="s">
        <v>81</v>
      </c>
      <c r="F5" s="51" t="s">
        <v>82</v>
      </c>
      <c r="G5" s="51" t="s">
        <v>83</v>
      </c>
      <c r="H5" s="50" t="s">
        <v>84</v>
      </c>
      <c r="I5" s="50" t="s">
        <v>85</v>
      </c>
      <c r="J5" s="50" t="s">
        <v>86</v>
      </c>
      <c r="K5" s="51" t="s">
        <v>87</v>
      </c>
      <c r="L5" s="50" t="s">
        <v>88</v>
      </c>
      <c r="M5" s="51" t="s">
        <v>89</v>
      </c>
      <c r="N5" s="51" t="s">
        <v>90</v>
      </c>
      <c r="O5" s="49" t="s">
        <v>91</v>
      </c>
      <c r="P5" s="1"/>
    </row>
    <row r="6" ht="19" customHeight="1" spans="1:16" x14ac:dyDescent="0.25">
      <c r="A6" s="1"/>
      <c r="B6" s="52" t="s">
        <v>92</v>
      </c>
      <c r="C6" s="53" t="s">
        <v>59</v>
      </c>
      <c r="D6" s="54">
        <v>11000</v>
      </c>
      <c r="E6" s="55">
        <v>0.18</v>
      </c>
      <c r="F6" s="55">
        <v>0.08</v>
      </c>
      <c r="G6" s="56" t="s">
        <v>93</v>
      </c>
      <c r="H6" s="54">
        <v>0</v>
      </c>
      <c r="I6" s="57">
        <f>IF(B6="","",ROUND(D6*(1+E6)*(1+F6)+IF(G6="Yes",D6*Setup!$C$16,0)+H6,0))</f>
      </c>
      <c r="J6" s="54">
        <v>3000</v>
      </c>
      <c r="K6" s="58">
        <v>46051</v>
      </c>
      <c r="L6" s="59">
        <f>IF(B6="","",MAX(0,I6-J6))</f>
      </c>
      <c r="M6" s="58">
        <v>46489</v>
      </c>
      <c r="N6" s="56" t="s">
        <v>93</v>
      </c>
      <c r="O6" s="53"/>
      <c r="P6" s="1">
        <f>IF(B6="","",I6-D6)</f>
      </c>
    </row>
    <row r="7" ht="19" customHeight="1" spans="1:16" x14ac:dyDescent="0.25">
      <c r="A7" s="1"/>
      <c r="B7" s="52" t="s">
        <v>94</v>
      </c>
      <c r="C7" s="53" t="s">
        <v>95</v>
      </c>
      <c r="D7" s="54">
        <v>7800</v>
      </c>
      <c r="E7" s="55">
        <v>0.18</v>
      </c>
      <c r="F7" s="55">
        <v>0.08</v>
      </c>
      <c r="G7" s="56" t="s">
        <v>96</v>
      </c>
      <c r="H7" s="54">
        <v>250</v>
      </c>
      <c r="I7" s="60">
        <f>IF(B7="","",ROUND(D7*(1+E7)*(1+F7)+IF(G7="Yes",D7*Setup!$C$16,0)+H7,0))</f>
      </c>
      <c r="J7" s="54">
        <v>2000</v>
      </c>
      <c r="K7" s="58">
        <v>46081</v>
      </c>
      <c r="L7" s="61">
        <f>IF(B7="","",MAX(0,I7-J7))</f>
      </c>
      <c r="M7" s="58">
        <v>46505</v>
      </c>
      <c r="N7" s="56" t="s">
        <v>93</v>
      </c>
      <c r="O7" s="53"/>
      <c r="P7" s="1">
        <f>IF(B7="","",I7-D7)</f>
      </c>
    </row>
    <row r="8" ht="19" customHeight="1" spans="1:16" x14ac:dyDescent="0.25">
      <c r="A8" s="1"/>
      <c r="B8" s="52" t="s">
        <v>97</v>
      </c>
      <c r="C8" s="53" t="s">
        <v>98</v>
      </c>
      <c r="D8" s="54">
        <v>3500</v>
      </c>
      <c r="E8" s="55">
        <v>0</v>
      </c>
      <c r="F8" s="55">
        <v>0.08</v>
      </c>
      <c r="G8" s="56" t="s">
        <v>93</v>
      </c>
      <c r="H8" s="54">
        <v>0</v>
      </c>
      <c r="I8" s="57">
        <f>IF(B8="","",ROUND(D8*(1+E8)*(1+F8)+IF(G8="Yes",D8*Setup!$C$16,0)+H8,0))</f>
      </c>
      <c r="J8" s="54">
        <v>1000</v>
      </c>
      <c r="K8" s="58">
        <v>46295</v>
      </c>
      <c r="L8" s="59">
        <f>IF(B8="","",MAX(0,I8-J8))</f>
      </c>
      <c r="M8" s="58">
        <v>46498</v>
      </c>
      <c r="N8" s="56" t="s">
        <v>93</v>
      </c>
      <c r="O8" s="53"/>
      <c r="P8" s="1">
        <f>IF(B8="","",I8-D8)</f>
      </c>
    </row>
    <row r="9" ht="19" customHeight="1" spans="1:16" x14ac:dyDescent="0.25">
      <c r="A9" s="1"/>
      <c r="B9" s="52" t="s">
        <v>99</v>
      </c>
      <c r="C9" s="53" t="s">
        <v>100</v>
      </c>
      <c r="D9" s="54">
        <v>1750</v>
      </c>
      <c r="E9" s="55">
        <v>0</v>
      </c>
      <c r="F9" s="55">
        <v>0.08</v>
      </c>
      <c r="G9" s="56" t="s">
        <v>93</v>
      </c>
      <c r="H9" s="54">
        <v>120</v>
      </c>
      <c r="I9" s="60">
        <f>IF(B9="","",ROUND(D9*(1+E9)*(1+F9)+IF(G9="Yes",D9*Setup!$C$16,0)+H9,0))</f>
      </c>
      <c r="J9" s="54">
        <v>500</v>
      </c>
      <c r="K9" s="58">
        <v>46302</v>
      </c>
      <c r="L9" s="61">
        <f>IF(B9="","",MAX(0,I9-J9))</f>
      </c>
      <c r="M9" s="58">
        <v>46512</v>
      </c>
      <c r="N9" s="56" t="s">
        <v>93</v>
      </c>
      <c r="O9" s="53"/>
      <c r="P9" s="1">
        <f>IF(B9="","",I9-D9)</f>
      </c>
    </row>
    <row r="10" ht="19" customHeight="1" spans="1:16" x14ac:dyDescent="0.25">
      <c r="A10" s="1"/>
      <c r="B10" s="52" t="s">
        <v>101</v>
      </c>
      <c r="C10" s="53" t="s">
        <v>102</v>
      </c>
      <c r="D10" s="54">
        <v>1400</v>
      </c>
      <c r="E10" s="55">
        <v>0</v>
      </c>
      <c r="F10" s="55">
        <v>0</v>
      </c>
      <c r="G10" s="56" t="s">
        <v>96</v>
      </c>
      <c r="H10" s="54">
        <v>0</v>
      </c>
      <c r="I10" s="57">
        <f>IF(B10="","",ROUND(D10*(1+E10)*(1+F10)+IF(G10="Yes",D10*Setup!$C$16,0)+H10,0))</f>
      </c>
      <c r="J10" s="54">
        <v>400</v>
      </c>
      <c r="K10" s="58">
        <v>46317</v>
      </c>
      <c r="L10" s="59">
        <f>IF(B10="","",MAX(0,I10-J10))</f>
      </c>
      <c r="M10" s="58">
        <v>46489</v>
      </c>
      <c r="N10" s="56" t="s">
        <v>93</v>
      </c>
      <c r="O10" s="53"/>
      <c r="P10" s="1">
        <f>IF(B10="","",I10-D10)</f>
      </c>
    </row>
    <row r="11" ht="19" customHeight="1" spans="1:16" x14ac:dyDescent="0.25">
      <c r="A11" s="1"/>
      <c r="B11" s="52" t="s">
        <v>103</v>
      </c>
      <c r="C11" s="53" t="s">
        <v>104</v>
      </c>
      <c r="D11" s="54">
        <v>480</v>
      </c>
      <c r="E11" s="55">
        <v>0</v>
      </c>
      <c r="F11" s="55">
        <v>0.08</v>
      </c>
      <c r="G11" s="56" t="s">
        <v>93</v>
      </c>
      <c r="H11" s="54">
        <v>35</v>
      </c>
      <c r="I11" s="60">
        <f>IF(B11="","",ROUND(D11*(1+E11)*(1+F11)+IF(G11="Yes",D11*Setup!$C$16,0)+H11,0))</f>
      </c>
      <c r="J11" s="54">
        <v>480</v>
      </c>
      <c r="K11" s="58">
        <v>46051</v>
      </c>
      <c r="L11" s="61">
        <f>IF(B11="","",MAX(0,I11-J11))</f>
      </c>
      <c r="M11" s="58">
        <v>46519</v>
      </c>
      <c r="N11" s="56" t="s">
        <v>96</v>
      </c>
      <c r="O11" s="53"/>
      <c r="P11" s="1">
        <f>IF(B11="","",I11-D11)</f>
      </c>
    </row>
    <row r="12" ht="19" customHeight="1" spans="1:16" x14ac:dyDescent="0.25">
      <c r="A12" s="1"/>
      <c r="B12" s="52" t="s">
        <v>105</v>
      </c>
      <c r="C12" s="53" t="s">
        <v>106</v>
      </c>
      <c r="D12" s="54">
        <v>450</v>
      </c>
      <c r="E12" s="55">
        <v>0</v>
      </c>
      <c r="F12" s="55">
        <v>0.08</v>
      </c>
      <c r="G12" s="56" t="s">
        <v>93</v>
      </c>
      <c r="H12" s="54">
        <v>45</v>
      </c>
      <c r="I12" s="57">
        <f>IF(B12="","",ROUND(D12*(1+E12)*(1+F12)+IF(G12="Yes",D12*Setup!$C$16,0)+H12,0))</f>
      </c>
      <c r="J12" s="54">
        <v>150</v>
      </c>
      <c r="K12" s="58">
        <v>46329</v>
      </c>
      <c r="L12" s="59">
        <f>IF(B12="","",MAX(0,I12-J12))</f>
      </c>
      <c r="M12" s="58">
        <v>46505</v>
      </c>
      <c r="N12" s="56" t="s">
        <v>93</v>
      </c>
      <c r="O12" s="53"/>
      <c r="P12" s="1">
        <f>IF(B12="","",I12-D12)</f>
      </c>
    </row>
    <row r="13" ht="19" customHeight="1" spans="1:16" x14ac:dyDescent="0.25">
      <c r="A13" s="1"/>
      <c r="B13" s="52" t="s">
        <v>107</v>
      </c>
      <c r="C13" s="53" t="s">
        <v>108</v>
      </c>
      <c r="D13" s="54">
        <v>400</v>
      </c>
      <c r="E13" s="55">
        <v>0</v>
      </c>
      <c r="F13" s="55">
        <v>0</v>
      </c>
      <c r="G13" s="56" t="s">
        <v>93</v>
      </c>
      <c r="H13" s="54">
        <v>0</v>
      </c>
      <c r="I13" s="60">
        <f>IF(B13="","",ROUND(D13*(1+E13)*(1+F13)+IF(G13="Yes",D13*Setup!$C$16,0)+H13,0))</f>
      </c>
      <c r="J13" s="54">
        <v>0</v>
      </c>
      <c r="K13" s="58">
        <v>46351</v>
      </c>
      <c r="L13" s="61">
        <f>IF(B13="","",MAX(0,I13-J13))</f>
      </c>
      <c r="M13" s="58">
        <v>46518</v>
      </c>
      <c r="N13" s="56" t="s">
        <v>93</v>
      </c>
      <c r="O13" s="53"/>
      <c r="P13" s="1">
        <f>IF(B13="","",I13-D13)</f>
      </c>
    </row>
    <row r="14" ht="19" customHeight="1" spans="1:16" x14ac:dyDescent="0.25">
      <c r="A14" s="1"/>
      <c r="B14" s="52" t="s">
        <v>109</v>
      </c>
      <c r="C14" s="53" t="s">
        <v>110</v>
      </c>
      <c r="D14" s="54">
        <v>2100</v>
      </c>
      <c r="E14" s="55">
        <v>0</v>
      </c>
      <c r="F14" s="55">
        <v>0.08</v>
      </c>
      <c r="G14" s="56" t="s">
        <v>93</v>
      </c>
      <c r="H14" s="54">
        <v>0</v>
      </c>
      <c r="I14" s="57">
        <f>IF(B14="","",ROUND(D14*(1+E14)*(1+F14)+IF(G14="Yes",D14*Setup!$C$16,0)+H14,0))</f>
      </c>
      <c r="J14" s="54">
        <v>700</v>
      </c>
      <c r="K14" s="58">
        <v>46366</v>
      </c>
      <c r="L14" s="59">
        <f>IF(B14="","",MAX(0,I14-J14))</f>
      </c>
      <c r="M14" s="58">
        <v>46474</v>
      </c>
      <c r="N14" s="56" t="s">
        <v>93</v>
      </c>
      <c r="O14" s="53"/>
      <c r="P14" s="1">
        <f>IF(B14="","",I14-D14)</f>
      </c>
    </row>
    <row r="15" ht="19" customHeight="1" spans="1:16" x14ac:dyDescent="0.25">
      <c r="A15" s="1"/>
      <c r="B15" s="52" t="s">
        <v>111</v>
      </c>
      <c r="C15" s="53" t="s">
        <v>112</v>
      </c>
      <c r="D15" s="54">
        <v>650</v>
      </c>
      <c r="E15" s="55">
        <v>0</v>
      </c>
      <c r="F15" s="55">
        <v>0</v>
      </c>
      <c r="G15" s="56" t="s">
        <v>96</v>
      </c>
      <c r="H15" s="54">
        <v>0</v>
      </c>
      <c r="I15" s="60">
        <f>IF(B15="","",ROUND(D15*(1+E15)*(1+F15)+IF(G15="Yes",D15*Setup!$C$16,0)+H15,0))</f>
      </c>
      <c r="J15" s="54">
        <v>200</v>
      </c>
      <c r="K15" s="58">
        <v>46411</v>
      </c>
      <c r="L15" s="61">
        <f>IF(B15="","",MAX(0,I15-J15))</f>
      </c>
      <c r="M15" s="58">
        <v>46516</v>
      </c>
      <c r="N15" s="56" t="s">
        <v>93</v>
      </c>
      <c r="O15" s="53"/>
      <c r="P15" s="1">
        <f>IF(B15="","",I15-D15)</f>
      </c>
    </row>
    <row r="16" ht="19" customHeight="1" spans="1:16" x14ac:dyDescent="0.25">
      <c r="A16" s="1"/>
      <c r="B16" s="52"/>
      <c r="C16" s="53"/>
      <c r="D16" s="54"/>
      <c r="E16" s="55"/>
      <c r="F16" s="55"/>
      <c r="G16" s="56"/>
      <c r="H16" s="54"/>
      <c r="I16" s="57">
        <f>IF(B16="","",ROUND(D16*(1+E16)*(1+F16)+IF(G16="Yes",D16*Setup!$C$16,0)+H16,0))</f>
      </c>
      <c r="J16" s="54"/>
      <c r="K16" s="58"/>
      <c r="L16" s="59">
        <f>IF(B16="","",MAX(0,I16-J16))</f>
      </c>
      <c r="M16" s="58"/>
      <c r="N16" s="56"/>
      <c r="O16" s="53"/>
      <c r="P16" s="1">
        <f>IF(B16="","",I16-D16)</f>
      </c>
    </row>
    <row r="17" ht="19" customHeight="1" spans="1:16" x14ac:dyDescent="0.25">
      <c r="A17" s="1"/>
      <c r="B17" s="52"/>
      <c r="C17" s="53"/>
      <c r="D17" s="54"/>
      <c r="E17" s="55"/>
      <c r="F17" s="55"/>
      <c r="G17" s="56"/>
      <c r="H17" s="54"/>
      <c r="I17" s="60">
        <f>IF(B17="","",ROUND(D17*(1+E17)*(1+F17)+IF(G17="Yes",D17*Setup!$C$16,0)+H17,0))</f>
      </c>
      <c r="J17" s="54"/>
      <c r="K17" s="58"/>
      <c r="L17" s="61">
        <f>IF(B17="","",MAX(0,I17-J17))</f>
      </c>
      <c r="M17" s="58"/>
      <c r="N17" s="56"/>
      <c r="O17" s="53"/>
      <c r="P17" s="1">
        <f>IF(B17="","",I17-D17)</f>
      </c>
    </row>
    <row r="18" ht="19" customHeight="1" spans="1:16" x14ac:dyDescent="0.25">
      <c r="A18" s="1"/>
      <c r="B18" s="52"/>
      <c r="C18" s="53"/>
      <c r="D18" s="54"/>
      <c r="E18" s="55"/>
      <c r="F18" s="55"/>
      <c r="G18" s="56"/>
      <c r="H18" s="54"/>
      <c r="I18" s="57">
        <f>IF(B18="","",ROUND(D18*(1+E18)*(1+F18)+IF(G18="Yes",D18*Setup!$C$16,0)+H18,0))</f>
      </c>
      <c r="J18" s="54"/>
      <c r="K18" s="58"/>
      <c r="L18" s="59">
        <f>IF(B18="","",MAX(0,I18-J18))</f>
      </c>
      <c r="M18" s="58"/>
      <c r="N18" s="56"/>
      <c r="O18" s="53"/>
      <c r="P18" s="1">
        <f>IF(B18="","",I18-D18)</f>
      </c>
    </row>
    <row r="19" ht="19" customHeight="1" spans="1:16" x14ac:dyDescent="0.25">
      <c r="A19" s="1"/>
      <c r="B19" s="52"/>
      <c r="C19" s="53"/>
      <c r="D19" s="54"/>
      <c r="E19" s="55"/>
      <c r="F19" s="55"/>
      <c r="G19" s="56"/>
      <c r="H19" s="54"/>
      <c r="I19" s="60">
        <f>IF(B19="","",ROUND(D19*(1+E19)*(1+F19)+IF(G19="Yes",D19*Setup!$C$16,0)+H19,0))</f>
      </c>
      <c r="J19" s="54"/>
      <c r="K19" s="58"/>
      <c r="L19" s="61">
        <f>IF(B19="","",MAX(0,I19-J19))</f>
      </c>
      <c r="M19" s="58"/>
      <c r="N19" s="56"/>
      <c r="O19" s="53"/>
      <c r="P19" s="1">
        <f>IF(B19="","",I19-D19)</f>
      </c>
    </row>
    <row r="20" ht="19" customHeight="1" spans="1:16" x14ac:dyDescent="0.25">
      <c r="A20" s="1"/>
      <c r="B20" s="52"/>
      <c r="C20" s="53"/>
      <c r="D20" s="54"/>
      <c r="E20" s="55"/>
      <c r="F20" s="55"/>
      <c r="G20" s="56"/>
      <c r="H20" s="54"/>
      <c r="I20" s="57">
        <f>IF(B20="","",ROUND(D20*(1+E20)*(1+F20)+IF(G20="Yes",D20*Setup!$C$16,0)+H20,0))</f>
      </c>
      <c r="J20" s="54"/>
      <c r="K20" s="58"/>
      <c r="L20" s="59">
        <f>IF(B20="","",MAX(0,I20-J20))</f>
      </c>
      <c r="M20" s="58"/>
      <c r="N20" s="56"/>
      <c r="O20" s="53"/>
      <c r="P20" s="1">
        <f>IF(B20="","",I20-D20)</f>
      </c>
    </row>
    <row r="21" ht="19" customHeight="1" spans="1:16" x14ac:dyDescent="0.25">
      <c r="A21" s="1"/>
      <c r="B21" s="52"/>
      <c r="C21" s="53"/>
      <c r="D21" s="54"/>
      <c r="E21" s="55"/>
      <c r="F21" s="55"/>
      <c r="G21" s="56"/>
      <c r="H21" s="54"/>
      <c r="I21" s="60">
        <f>IF(B21="","",ROUND(D21*(1+E21)*(1+F21)+IF(G21="Yes",D21*Setup!$C$16,0)+H21,0))</f>
      </c>
      <c r="J21" s="54"/>
      <c r="K21" s="58"/>
      <c r="L21" s="61">
        <f>IF(B21="","",MAX(0,I21-J21))</f>
      </c>
      <c r="M21" s="58"/>
      <c r="N21" s="56"/>
      <c r="O21" s="53"/>
      <c r="P21" s="1">
        <f>IF(B21="","",I21-D21)</f>
      </c>
    </row>
    <row r="22" ht="19" customHeight="1" spans="1:16" x14ac:dyDescent="0.25">
      <c r="A22" s="1"/>
      <c r="B22" s="52"/>
      <c r="C22" s="53"/>
      <c r="D22" s="54"/>
      <c r="E22" s="55"/>
      <c r="F22" s="55"/>
      <c r="G22" s="56"/>
      <c r="H22" s="54"/>
      <c r="I22" s="57">
        <f>IF(B22="","",ROUND(D22*(1+E22)*(1+F22)+IF(G22="Yes",D22*Setup!$C$16,0)+H22,0))</f>
      </c>
      <c r="J22" s="54"/>
      <c r="K22" s="58"/>
      <c r="L22" s="59">
        <f>IF(B22="","",MAX(0,I22-J22))</f>
      </c>
      <c r="M22" s="58"/>
      <c r="N22" s="56"/>
      <c r="O22" s="53"/>
      <c r="P22" s="1">
        <f>IF(B22="","",I22-D22)</f>
      </c>
    </row>
    <row r="23" ht="19" customHeight="1" spans="1:16" x14ac:dyDescent="0.25">
      <c r="A23" s="1"/>
      <c r="B23" s="52"/>
      <c r="C23" s="53"/>
      <c r="D23" s="54"/>
      <c r="E23" s="55"/>
      <c r="F23" s="55"/>
      <c r="G23" s="56"/>
      <c r="H23" s="54"/>
      <c r="I23" s="60">
        <f>IF(B23="","",ROUND(D23*(1+E23)*(1+F23)+IF(G23="Yes",D23*Setup!$C$16,0)+H23,0))</f>
      </c>
      <c r="J23" s="54"/>
      <c r="K23" s="58"/>
      <c r="L23" s="61">
        <f>IF(B23="","",MAX(0,I23-J23))</f>
      </c>
      <c r="M23" s="58"/>
      <c r="N23" s="56"/>
      <c r="O23" s="53"/>
      <c r="P23" s="1">
        <f>IF(B23="","",I23-D23)</f>
      </c>
    </row>
    <row r="24" ht="19" customHeight="1" spans="1:16" x14ac:dyDescent="0.25">
      <c r="A24" s="1"/>
      <c r="B24" s="52"/>
      <c r="C24" s="53"/>
      <c r="D24" s="54"/>
      <c r="E24" s="55"/>
      <c r="F24" s="55"/>
      <c r="G24" s="56"/>
      <c r="H24" s="54"/>
      <c r="I24" s="57">
        <f>IF(B24="","",ROUND(D24*(1+E24)*(1+F24)+IF(G24="Yes",D24*Setup!$C$16,0)+H24,0))</f>
      </c>
      <c r="J24" s="54"/>
      <c r="K24" s="58"/>
      <c r="L24" s="59">
        <f>IF(B24="","",MAX(0,I24-J24))</f>
      </c>
      <c r="M24" s="58"/>
      <c r="N24" s="56"/>
      <c r="O24" s="53"/>
      <c r="P24" s="1">
        <f>IF(B24="","",I24-D24)</f>
      </c>
    </row>
    <row r="25" ht="19" customHeight="1" spans="1:16" x14ac:dyDescent="0.25">
      <c r="A25" s="1"/>
      <c r="B25" s="52"/>
      <c r="C25" s="53"/>
      <c r="D25" s="54"/>
      <c r="E25" s="55"/>
      <c r="F25" s="55"/>
      <c r="G25" s="56"/>
      <c r="H25" s="54"/>
      <c r="I25" s="60">
        <f>IF(B25="","",ROUND(D25*(1+E25)*(1+F25)+IF(G25="Yes",D25*Setup!$C$16,0)+H25,0))</f>
      </c>
      <c r="J25" s="54"/>
      <c r="K25" s="58"/>
      <c r="L25" s="61">
        <f>IF(B25="","",MAX(0,I25-J25))</f>
      </c>
      <c r="M25" s="58"/>
      <c r="N25" s="56"/>
      <c r="O25" s="53"/>
      <c r="P25" s="1">
        <f>IF(B25="","",I25-D25)</f>
      </c>
    </row>
    <row r="26" ht="19" customHeight="1" spans="1:16" x14ac:dyDescent="0.25">
      <c r="A26" s="1"/>
      <c r="B26" s="52"/>
      <c r="C26" s="53"/>
      <c r="D26" s="54"/>
      <c r="E26" s="55"/>
      <c r="F26" s="55"/>
      <c r="G26" s="56"/>
      <c r="H26" s="54"/>
      <c r="I26" s="57">
        <f>IF(B26="","",ROUND(D26*(1+E26)*(1+F26)+IF(G26="Yes",D26*Setup!$C$16,0)+H26,0))</f>
      </c>
      <c r="J26" s="54"/>
      <c r="K26" s="58"/>
      <c r="L26" s="59">
        <f>IF(B26="","",MAX(0,I26-J26))</f>
      </c>
      <c r="M26" s="58"/>
      <c r="N26" s="56"/>
      <c r="O26" s="53"/>
      <c r="P26" s="1">
        <f>IF(B26="","",I26-D26)</f>
      </c>
    </row>
    <row r="27" ht="19" customHeight="1" spans="1:16" x14ac:dyDescent="0.25">
      <c r="A27" s="1"/>
      <c r="B27" s="52"/>
      <c r="C27" s="53"/>
      <c r="D27" s="54"/>
      <c r="E27" s="55"/>
      <c r="F27" s="55"/>
      <c r="G27" s="56"/>
      <c r="H27" s="54"/>
      <c r="I27" s="60">
        <f>IF(B27="","",ROUND(D27*(1+E27)*(1+F27)+IF(G27="Yes",D27*Setup!$C$16,0)+H27,0))</f>
      </c>
      <c r="J27" s="54"/>
      <c r="K27" s="58"/>
      <c r="L27" s="61">
        <f>IF(B27="","",MAX(0,I27-J27))</f>
      </c>
      <c r="M27" s="58"/>
      <c r="N27" s="56"/>
      <c r="O27" s="53"/>
      <c r="P27" s="1">
        <f>IF(B27="","",I27-D27)</f>
      </c>
    </row>
    <row r="28" ht="19" customHeight="1" spans="1:16" x14ac:dyDescent="0.25">
      <c r="A28" s="1"/>
      <c r="B28" s="52"/>
      <c r="C28" s="53"/>
      <c r="D28" s="54"/>
      <c r="E28" s="55"/>
      <c r="F28" s="55"/>
      <c r="G28" s="56"/>
      <c r="H28" s="54"/>
      <c r="I28" s="57">
        <f>IF(B28="","",ROUND(D28*(1+E28)*(1+F28)+IF(G28="Yes",D28*Setup!$C$16,0)+H28,0))</f>
      </c>
      <c r="J28" s="54"/>
      <c r="K28" s="58"/>
      <c r="L28" s="59">
        <f>IF(B28="","",MAX(0,I28-J28))</f>
      </c>
      <c r="M28" s="58"/>
      <c r="N28" s="56"/>
      <c r="O28" s="53"/>
      <c r="P28" s="1">
        <f>IF(B28="","",I28-D28)</f>
      </c>
    </row>
    <row r="29" ht="19" customHeight="1" spans="1:16" x14ac:dyDescent="0.25">
      <c r="A29" s="1"/>
      <c r="B29" s="52"/>
      <c r="C29" s="53"/>
      <c r="D29" s="54"/>
      <c r="E29" s="55"/>
      <c r="F29" s="55"/>
      <c r="G29" s="56"/>
      <c r="H29" s="54"/>
      <c r="I29" s="60">
        <f>IF(B29="","",ROUND(D29*(1+E29)*(1+F29)+IF(G29="Yes",D29*Setup!$C$16,0)+H29,0))</f>
      </c>
      <c r="J29" s="54"/>
      <c r="K29" s="58"/>
      <c r="L29" s="61">
        <f>IF(B29="","",MAX(0,I29-J29))</f>
      </c>
      <c r="M29" s="58"/>
      <c r="N29" s="56"/>
      <c r="O29" s="53"/>
      <c r="P29" s="1">
        <f>IF(B29="","",I29-D29)</f>
      </c>
    </row>
    <row r="30" ht="19" customHeight="1" spans="1:16" x14ac:dyDescent="0.25">
      <c r="A30" s="1"/>
      <c r="B30" s="52"/>
      <c r="C30" s="53"/>
      <c r="D30" s="54"/>
      <c r="E30" s="55"/>
      <c r="F30" s="55"/>
      <c r="G30" s="56"/>
      <c r="H30" s="54"/>
      <c r="I30" s="57">
        <f>IF(B30="","",ROUND(D30*(1+E30)*(1+F30)+IF(G30="Yes",D30*Setup!$C$16,0)+H30,0))</f>
      </c>
      <c r="J30" s="54"/>
      <c r="K30" s="58"/>
      <c r="L30" s="59">
        <f>IF(B30="","",MAX(0,I30-J30))</f>
      </c>
      <c r="M30" s="58"/>
      <c r="N30" s="56"/>
      <c r="O30" s="53"/>
      <c r="P30" s="1">
        <f>IF(B30="","",I30-D30)</f>
      </c>
    </row>
    <row r="31" ht="24" customHeight="1" spans="1:16" x14ac:dyDescent="0.25">
      <c r="A31" s="1"/>
      <c r="B31" s="62" t="s">
        <v>113</v>
      </c>
      <c r="C31" s="63"/>
      <c r="D31" s="64">
        <f>SUM(D6:D30)</f>
      </c>
      <c r="E31" s="63"/>
      <c r="F31" s="63"/>
      <c r="G31" s="63"/>
      <c r="H31" s="64">
        <f>SUM(H6:H30)</f>
      </c>
      <c r="I31" s="64">
        <f>SUM(I6:I30)</f>
      </c>
      <c r="J31" s="64">
        <f>SUM(J6:J30)</f>
      </c>
      <c r="K31" s="63"/>
      <c r="L31" s="64">
        <f>SUM(L6:L30)</f>
      </c>
      <c r="M31" s="63"/>
      <c r="N31" s="63"/>
      <c r="O31" s="63"/>
      <c r="P31" s="1">
        <f>SUM(P6:P30)</f>
      </c>
    </row>
    <row r="32" spans="1:16" x14ac:dyDescent="0.25">
      <c r="A32" s="1"/>
      <c r="B32" s="1"/>
      <c r="C32" s="1"/>
      <c r="D32" s="1"/>
      <c r="E32" s="1"/>
      <c r="F32" s="1"/>
      <c r="G32" s="1"/>
      <c r="H32" s="1"/>
      <c r="I32" s="1"/>
      <c r="J32" s="1"/>
      <c r="K32" s="1"/>
      <c r="L32" s="1"/>
      <c r="M32" s="1"/>
      <c r="N32" s="1"/>
      <c r="O32" s="1"/>
      <c r="P32" s="1"/>
    </row>
    <row r="33" spans="1:16" x14ac:dyDescent="0.25">
      <c r="A33" s="1"/>
      <c r="B33" s="65">
        <f>"Hidden extras on top of your quotes:  "&amp;Setup!$C$8&amp;TEXT(P31,"#,##0")&amp;"   ·   that is "&amp;TEXT(IF(D31=0,0,P31/D31),"0.0%")&amp;" more than the headline prices."</f>
      </c>
      <c r="C33" s="1"/>
      <c r="D33" s="1"/>
      <c r="E33" s="1"/>
      <c r="F33" s="1"/>
      <c r="G33" s="1"/>
      <c r="H33" s="1"/>
      <c r="I33" s="1"/>
      <c r="J33" s="1"/>
      <c r="K33" s="1"/>
      <c r="L33" s="1"/>
      <c r="M33" s="1"/>
      <c r="N33" s="1"/>
      <c r="O33" s="1"/>
      <c r="P33" s="1"/>
    </row>
    <row r="34" spans="1:16" x14ac:dyDescent="0.25">
      <c r="A34" s="1"/>
      <c r="B34" s="1"/>
      <c r="C34" s="1"/>
      <c r="D34" s="1"/>
      <c r="E34" s="1"/>
      <c r="F34" s="1"/>
      <c r="G34" s="1"/>
      <c r="H34" s="1"/>
      <c r="I34" s="1"/>
      <c r="J34" s="1"/>
      <c r="K34" s="1"/>
      <c r="L34" s="1"/>
      <c r="M34" s="1"/>
      <c r="N34" s="1"/>
      <c r="O34" s="1"/>
      <c r="P34" s="1"/>
    </row>
    <row r="35" ht="30" customHeight="1" spans="1:16" x14ac:dyDescent="0.25">
      <c r="A35" s="1"/>
      <c r="B35" s="48" t="s">
        <v>114</v>
      </c>
      <c r="C35" s="48"/>
      <c r="D35" s="48"/>
      <c r="E35" s="48"/>
      <c r="F35" s="48"/>
      <c r="G35" s="48"/>
      <c r="H35" s="48"/>
      <c r="I35" s="48"/>
      <c r="J35" s="48"/>
      <c r="K35" s="48"/>
      <c r="L35" s="1"/>
      <c r="M35" s="1"/>
      <c r="N35" s="1"/>
      <c r="O35" s="1"/>
      <c r="P35" s="1"/>
    </row>
    <row r="36" spans="1:16" x14ac:dyDescent="0.25">
      <c r="A36" s="1"/>
      <c r="B36" s="1"/>
      <c r="C36" s="1"/>
      <c r="D36" s="1"/>
      <c r="E36" s="1"/>
      <c r="F36" s="1"/>
      <c r="G36" s="1"/>
      <c r="H36" s="1"/>
      <c r="I36" s="1"/>
      <c r="J36" s="1"/>
      <c r="K36" s="1"/>
      <c r="L36" s="1"/>
      <c r="M36" s="1"/>
      <c r="N36" s="1"/>
      <c r="O36" s="1"/>
      <c r="P36" s="1"/>
    </row>
    <row r="37" spans="1:16" x14ac:dyDescent="0.25">
      <c r="A37" s="1"/>
      <c r="B37" s="1"/>
      <c r="C37" s="1"/>
      <c r="D37" s="1"/>
      <c r="E37" s="1"/>
      <c r="F37" s="1"/>
      <c r="G37" s="1"/>
      <c r="H37" s="1"/>
      <c r="I37" s="1"/>
      <c r="J37" s="1"/>
      <c r="K37" s="1"/>
      <c r="L37" s="1"/>
      <c r="M37" s="1"/>
      <c r="N37" s="1"/>
      <c r="O37" s="1"/>
      <c r="P37" s="1"/>
    </row>
    <row r="38" spans="1:16" x14ac:dyDescent="0.25">
      <c r="A38" s="1"/>
      <c r="B38" s="1"/>
      <c r="C38" s="1"/>
      <c r="D38" s="1"/>
      <c r="E38" s="1"/>
      <c r="F38" s="1"/>
      <c r="G38" s="1"/>
      <c r="H38" s="1"/>
      <c r="I38" s="1"/>
      <c r="J38" s="1"/>
      <c r="K38" s="1"/>
      <c r="L38" s="1"/>
      <c r="M38" s="1"/>
      <c r="N38" s="1"/>
      <c r="O38" s="1"/>
      <c r="P38" s="1"/>
    </row>
    <row r="39" spans="1:16" x14ac:dyDescent="0.25">
      <c r="A39" s="1"/>
      <c r="B39" s="1"/>
      <c r="C39" s="1"/>
      <c r="D39" s="1"/>
      <c r="E39" s="1"/>
      <c r="F39" s="1"/>
      <c r="G39" s="1"/>
      <c r="H39" s="1"/>
      <c r="I39" s="1"/>
      <c r="J39" s="1"/>
      <c r="K39" s="1"/>
      <c r="L39" s="1"/>
      <c r="M39" s="1"/>
      <c r="N39" s="1"/>
      <c r="O39" s="1"/>
      <c r="P39" s="1"/>
    </row>
    <row r="40" spans="1:16" x14ac:dyDescent="0.25">
      <c r="A40" s="1"/>
      <c r="B40" s="1"/>
      <c r="C40" s="1"/>
      <c r="D40" s="1"/>
      <c r="E40" s="1"/>
      <c r="F40" s="1"/>
      <c r="G40" s="1"/>
      <c r="H40" s="1"/>
      <c r="I40" s="1"/>
      <c r="J40" s="1"/>
      <c r="K40" s="1"/>
      <c r="L40" s="1"/>
      <c r="M40" s="1"/>
      <c r="N40" s="1"/>
      <c r="O40" s="1"/>
      <c r="P40" s="1"/>
    </row>
    <row r="41" spans="1:16" x14ac:dyDescent="0.25">
      <c r="A41" s="1"/>
      <c r="B41" s="1"/>
      <c r="C41" s="1"/>
      <c r="D41" s="1"/>
      <c r="E41" s="1"/>
      <c r="F41" s="1"/>
      <c r="G41" s="1"/>
      <c r="H41" s="1"/>
      <c r="I41" s="1"/>
      <c r="J41" s="1"/>
      <c r="K41" s="1"/>
      <c r="L41" s="1"/>
      <c r="M41" s="1"/>
      <c r="N41" s="1"/>
      <c r="O41" s="1"/>
      <c r="P41" s="1"/>
    </row>
    <row r="42" spans="1:16" x14ac:dyDescent="0.25">
      <c r="A42" s="1"/>
      <c r="B42" s="1"/>
      <c r="C42" s="1"/>
      <c r="D42" s="1"/>
      <c r="E42" s="1"/>
      <c r="F42" s="1"/>
      <c r="G42" s="1"/>
      <c r="H42" s="1"/>
      <c r="I42" s="1"/>
      <c r="J42" s="1"/>
      <c r="K42" s="1"/>
      <c r="L42" s="1"/>
      <c r="M42" s="1"/>
      <c r="N42" s="1"/>
      <c r="O42" s="1"/>
      <c r="P42" s="1"/>
    </row>
    <row r="43" spans="1:16" x14ac:dyDescent="0.25">
      <c r="A43" s="1"/>
      <c r="B43" s="1"/>
      <c r="C43" s="1"/>
      <c r="D43" s="1"/>
      <c r="E43" s="1"/>
      <c r="F43" s="1"/>
      <c r="G43" s="1"/>
      <c r="H43" s="1"/>
      <c r="I43" s="1"/>
      <c r="J43" s="1"/>
      <c r="K43" s="1"/>
      <c r="L43" s="1"/>
      <c r="M43" s="1"/>
      <c r="N43" s="1"/>
      <c r="O43" s="1"/>
      <c r="P43" s="1"/>
    </row>
    <row r="44" spans="1:16" x14ac:dyDescent="0.25">
      <c r="A44" s="1"/>
      <c r="B44" s="1"/>
      <c r="C44" s="1"/>
      <c r="D44" s="1"/>
      <c r="E44" s="1"/>
      <c r="F44" s="1"/>
      <c r="G44" s="1"/>
      <c r="H44" s="1"/>
      <c r="I44" s="1"/>
      <c r="J44" s="1"/>
      <c r="K44" s="1"/>
      <c r="L44" s="1"/>
      <c r="M44" s="1"/>
      <c r="N44" s="1"/>
      <c r="O44" s="1"/>
      <c r="P44" s="1"/>
    </row>
    <row r="45" spans="1:16" x14ac:dyDescent="0.25">
      <c r="A45" s="1"/>
      <c r="B45" s="1"/>
      <c r="C45" s="1"/>
      <c r="D45" s="1"/>
      <c r="E45" s="1"/>
      <c r="F45" s="1"/>
      <c r="G45" s="1"/>
      <c r="H45" s="1"/>
      <c r="I45" s="1"/>
      <c r="J45" s="1"/>
      <c r="K45" s="1"/>
      <c r="L45" s="1"/>
      <c r="M45" s="1"/>
      <c r="N45" s="1"/>
      <c r="O45" s="1"/>
      <c r="P45" s="1"/>
    </row>
  </sheetData>
  <mergeCells count="3">
    <mergeCell ref="B2:O2"/>
    <mergeCell ref="B3:O3"/>
    <mergeCell ref="B35:K35"/>
  </mergeCells>
  <conditionalFormatting sqref="N6:N30">
    <cfRule type="expression" dxfId="2" priority="1">
      <formula>N6="Yes"</formula>
    </cfRule>
  </conditionalFormatting>
  <dataValidations count="4">
    <dataValidation type="list" allowBlank="1" sqref="C6:C30">
      <formula1>Budget!$B$6:$B$19</formula1>
    </dataValidation>
    <dataValidation type="list" allowBlank="1" sqref="E6:E30">
      <formula1>"0,0.1,0.15,0.18,0.2,0.22"</formula1>
    </dataValidation>
    <dataValidation type="list" allowBlank="1" sqref="G6:G30">
      <formula1>"Yes,No"</formula1>
    </dataValidation>
    <dataValidation type="list" allowBlank="1" sqref="N6:N30">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L60"/>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24" customWidth="1"/>
    <col min="3" max="3" width="22" customWidth="1"/>
    <col min="4" max="4" width="20" customWidth="1"/>
    <col min="5" max="5" width="15" customWidth="1"/>
    <col min="6" max="6" width="28" customWidth="1"/>
    <col min="7" max="7" width="24" customWidth="1"/>
    <col min="8" max="8" width="26" customWidth="1"/>
  </cols>
  <sheetData>
    <row r="1" ht="14" customHeight="1" spans="1:12" x14ac:dyDescent="0.25">
      <c r="A1" s="1"/>
      <c r="B1" s="1"/>
      <c r="C1" s="1"/>
      <c r="D1" s="1"/>
      <c r="E1" s="1"/>
      <c r="F1" s="1"/>
      <c r="G1" s="1"/>
      <c r="H1" s="1"/>
      <c r="I1" s="1"/>
      <c r="J1" s="1"/>
      <c r="K1" s="1"/>
      <c r="L1" s="1"/>
    </row>
    <row r="2" ht="38" customHeight="1" spans="1:12" x14ac:dyDescent="0.25">
      <c r="A2" s="1"/>
      <c r="B2" s="34" t="s">
        <v>115</v>
      </c>
      <c r="C2" s="34"/>
      <c r="D2" s="34"/>
      <c r="E2" s="34"/>
      <c r="F2" s="34"/>
      <c r="G2" s="34"/>
      <c r="H2" s="34"/>
      <c r="I2" s="34"/>
      <c r="J2" s="34"/>
      <c r="K2" s="1"/>
      <c r="L2" s="1"/>
    </row>
    <row r="3" ht="18" customHeight="1" spans="1:12" x14ac:dyDescent="0.25">
      <c r="A3" s="1"/>
      <c r="B3" s="35" t="s">
        <v>116</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117</v>
      </c>
      <c r="C5" s="49" t="s">
        <v>118</v>
      </c>
      <c r="D5" s="49" t="s">
        <v>119</v>
      </c>
      <c r="E5" s="51" t="s">
        <v>120</v>
      </c>
      <c r="F5" s="49" t="s">
        <v>121</v>
      </c>
      <c r="G5" s="49" t="s">
        <v>122</v>
      </c>
      <c r="H5" s="49" t="s">
        <v>91</v>
      </c>
      <c r="I5" s="1"/>
      <c r="J5" s="1"/>
      <c r="K5" s="1"/>
      <c r="L5" s="1"/>
    </row>
    <row r="6" ht="19" customHeight="1" spans="1:12" x14ac:dyDescent="0.25">
      <c r="A6" s="1"/>
      <c r="B6" s="66">
        <f>IF('Vendors &amp; Real Cost'!B6="","",'Vendors &amp; Real Cost'!B6)</f>
      </c>
      <c r="C6" s="67">
        <f>IF('Vendors &amp; Real Cost'!C6="","",'Vendors &amp; Real Cost'!C6)</f>
      </c>
      <c r="D6" s="53" t="s">
        <v>123</v>
      </c>
      <c r="E6" s="56" t="s">
        <v>124</v>
      </c>
      <c r="F6" s="53" t="s">
        <v>125</v>
      </c>
      <c r="G6" s="53" t="s">
        <v>126</v>
      </c>
      <c r="H6" s="53"/>
      <c r="I6" s="1"/>
      <c r="J6" s="1"/>
      <c r="K6" s="1"/>
      <c r="L6" s="1"/>
    </row>
    <row r="7" ht="19" customHeight="1" spans="1:12" x14ac:dyDescent="0.25">
      <c r="A7" s="1"/>
      <c r="B7" s="68">
        <f>IF('Vendors &amp; Real Cost'!B7="","",'Vendors &amp; Real Cost'!B7)</f>
      </c>
      <c r="C7" s="69">
        <f>IF('Vendors &amp; Real Cost'!C7="","",'Vendors &amp; Real Cost'!C7)</f>
      </c>
      <c r="D7" s="53" t="s">
        <v>127</v>
      </c>
      <c r="E7" s="56" t="s">
        <v>128</v>
      </c>
      <c r="F7" s="53" t="s">
        <v>129</v>
      </c>
      <c r="G7" s="53" t="s">
        <v>130</v>
      </c>
      <c r="H7" s="53"/>
      <c r="I7" s="1"/>
      <c r="J7" s="1"/>
      <c r="K7" s="1"/>
      <c r="L7" s="1"/>
    </row>
    <row r="8" ht="19" customHeight="1" spans="1:12" x14ac:dyDescent="0.25">
      <c r="A8" s="1"/>
      <c r="B8" s="66">
        <f>IF('Vendors &amp; Real Cost'!B8="","",'Vendors &amp; Real Cost'!B8)</f>
      </c>
      <c r="C8" s="67">
        <f>IF('Vendors &amp; Real Cost'!C8="","",'Vendors &amp; Real Cost'!C8)</f>
      </c>
      <c r="D8" s="53" t="s">
        <v>131</v>
      </c>
      <c r="E8" s="56" t="s">
        <v>132</v>
      </c>
      <c r="F8" s="53" t="s">
        <v>133</v>
      </c>
      <c r="G8" s="53" t="s">
        <v>134</v>
      </c>
      <c r="H8" s="53"/>
      <c r="I8" s="1"/>
      <c r="J8" s="1"/>
      <c r="K8" s="1"/>
      <c r="L8" s="1"/>
    </row>
    <row r="9" ht="19" customHeight="1" spans="1:12" x14ac:dyDescent="0.25">
      <c r="A9" s="1"/>
      <c r="B9" s="68">
        <f>IF('Vendors &amp; Real Cost'!B9="","",'Vendors &amp; Real Cost'!B9)</f>
      </c>
      <c r="C9" s="69">
        <f>IF('Vendors &amp; Real Cost'!C9="","",'Vendors &amp; Real Cost'!C9)</f>
      </c>
      <c r="D9" s="53" t="s">
        <v>135</v>
      </c>
      <c r="E9" s="56" t="s">
        <v>136</v>
      </c>
      <c r="F9" s="53" t="s">
        <v>137</v>
      </c>
      <c r="G9" s="53" t="s">
        <v>138</v>
      </c>
      <c r="H9" s="53"/>
      <c r="I9" s="1"/>
      <c r="J9" s="1"/>
      <c r="K9" s="1"/>
      <c r="L9" s="1"/>
    </row>
    <row r="10" ht="19" customHeight="1" spans="1:12" x14ac:dyDescent="0.25">
      <c r="A10" s="1"/>
      <c r="B10" s="66">
        <f>IF('Vendors &amp; Real Cost'!B10="","",'Vendors &amp; Real Cost'!B10)</f>
      </c>
      <c r="C10" s="67">
        <f>IF('Vendors &amp; Real Cost'!C10="","",'Vendors &amp; Real Cost'!C10)</f>
      </c>
      <c r="D10" s="53" t="s">
        <v>139</v>
      </c>
      <c r="E10" s="56" t="s">
        <v>140</v>
      </c>
      <c r="F10" s="53" t="s">
        <v>141</v>
      </c>
      <c r="G10" s="53" t="s">
        <v>142</v>
      </c>
      <c r="H10" s="53"/>
      <c r="I10" s="1"/>
      <c r="J10" s="1"/>
      <c r="K10" s="1"/>
      <c r="L10" s="1"/>
    </row>
    <row r="11" ht="19" customHeight="1" spans="1:12" x14ac:dyDescent="0.25">
      <c r="A11" s="1"/>
      <c r="B11" s="68">
        <f>IF('Vendors &amp; Real Cost'!B11="","",'Vendors &amp; Real Cost'!B11)</f>
      </c>
      <c r="C11" s="69">
        <f>IF('Vendors &amp; Real Cost'!C11="","",'Vendors &amp; Real Cost'!C11)</f>
      </c>
      <c r="D11" s="53" t="s">
        <v>143</v>
      </c>
      <c r="E11" s="56" t="s">
        <v>144</v>
      </c>
      <c r="F11" s="53" t="s">
        <v>145</v>
      </c>
      <c r="G11" s="53" t="s">
        <v>146</v>
      </c>
      <c r="H11" s="53"/>
      <c r="I11" s="1"/>
      <c r="J11" s="1"/>
      <c r="K11" s="1"/>
      <c r="L11" s="1"/>
    </row>
    <row r="12" ht="19" customHeight="1" spans="1:12" x14ac:dyDescent="0.25">
      <c r="A12" s="1"/>
      <c r="B12" s="66">
        <f>IF('Vendors &amp; Real Cost'!B12="","",'Vendors &amp; Real Cost'!B12)</f>
      </c>
      <c r="C12" s="67">
        <f>IF('Vendors &amp; Real Cost'!C12="","",'Vendors &amp; Real Cost'!C12)</f>
      </c>
      <c r="D12" s="53" t="s">
        <v>147</v>
      </c>
      <c r="E12" s="56" t="s">
        <v>148</v>
      </c>
      <c r="F12" s="53" t="s">
        <v>149</v>
      </c>
      <c r="G12" s="53" t="s">
        <v>150</v>
      </c>
      <c r="H12" s="53"/>
      <c r="I12" s="1"/>
      <c r="J12" s="1"/>
      <c r="K12" s="1"/>
      <c r="L12" s="1"/>
    </row>
    <row r="13" ht="19" customHeight="1" spans="1:12" x14ac:dyDescent="0.25">
      <c r="A13" s="1"/>
      <c r="B13" s="68">
        <f>IF('Vendors &amp; Real Cost'!B13="","",'Vendors &amp; Real Cost'!B13)</f>
      </c>
      <c r="C13" s="69">
        <f>IF('Vendors &amp; Real Cost'!C13="","",'Vendors &amp; Real Cost'!C13)</f>
      </c>
      <c r="D13" s="53" t="s">
        <v>151</v>
      </c>
      <c r="E13" s="56" t="s">
        <v>152</v>
      </c>
      <c r="F13" s="53" t="s">
        <v>151</v>
      </c>
      <c r="G13" s="53" t="s">
        <v>151</v>
      </c>
      <c r="H13" s="53"/>
      <c r="I13" s="1"/>
      <c r="J13" s="1"/>
      <c r="K13" s="1"/>
      <c r="L13" s="1"/>
    </row>
    <row r="14" ht="19" customHeight="1" spans="1:12" x14ac:dyDescent="0.25">
      <c r="A14" s="1"/>
      <c r="B14" s="66">
        <f>IF('Vendors &amp; Real Cost'!B14="","",'Vendors &amp; Real Cost'!B14)</f>
      </c>
      <c r="C14" s="67">
        <f>IF('Vendors &amp; Real Cost'!C14="","",'Vendors &amp; Real Cost'!C14)</f>
      </c>
      <c r="D14" s="53" t="s">
        <v>153</v>
      </c>
      <c r="E14" s="56" t="s">
        <v>154</v>
      </c>
      <c r="F14" s="53" t="s">
        <v>155</v>
      </c>
      <c r="G14" s="53" t="s">
        <v>156</v>
      </c>
      <c r="H14" s="53"/>
      <c r="I14" s="1"/>
      <c r="J14" s="1"/>
      <c r="K14" s="1"/>
      <c r="L14" s="1"/>
    </row>
    <row r="15" ht="19" customHeight="1" spans="1:12" x14ac:dyDescent="0.25">
      <c r="A15" s="1"/>
      <c r="B15" s="68">
        <f>IF('Vendors &amp; Real Cost'!B15="","",'Vendors &amp; Real Cost'!B15)</f>
      </c>
      <c r="C15" s="69">
        <f>IF('Vendors &amp; Real Cost'!C15="","",'Vendors &amp; Real Cost'!C15)</f>
      </c>
      <c r="D15" s="53" t="s">
        <v>157</v>
      </c>
      <c r="E15" s="56" t="s">
        <v>158</v>
      </c>
      <c r="F15" s="53" t="s">
        <v>159</v>
      </c>
      <c r="G15" s="53" t="s">
        <v>160</v>
      </c>
      <c r="H15" s="53"/>
      <c r="I15" s="1"/>
      <c r="J15" s="1"/>
      <c r="K15" s="1"/>
      <c r="L15" s="1"/>
    </row>
    <row r="16" ht="19" customHeight="1" spans="1:12" x14ac:dyDescent="0.25">
      <c r="A16" s="1"/>
      <c r="B16" s="66">
        <f>IF('Vendors &amp; Real Cost'!B16="","",'Vendors &amp; Real Cost'!B16)</f>
      </c>
      <c r="C16" s="67">
        <f>IF('Vendors &amp; Real Cost'!C16="","",'Vendors &amp; Real Cost'!C16)</f>
      </c>
      <c r="D16" s="53"/>
      <c r="E16" s="56"/>
      <c r="F16" s="53"/>
      <c r="G16" s="53"/>
      <c r="H16" s="53"/>
      <c r="I16" s="1"/>
      <c r="J16" s="1"/>
      <c r="K16" s="1"/>
      <c r="L16" s="1"/>
    </row>
    <row r="17" ht="19" customHeight="1" spans="1:12" x14ac:dyDescent="0.25">
      <c r="A17" s="1"/>
      <c r="B17" s="68">
        <f>IF('Vendors &amp; Real Cost'!B17="","",'Vendors &amp; Real Cost'!B17)</f>
      </c>
      <c r="C17" s="69">
        <f>IF('Vendors &amp; Real Cost'!C17="","",'Vendors &amp; Real Cost'!C17)</f>
      </c>
      <c r="D17" s="53"/>
      <c r="E17" s="56"/>
      <c r="F17" s="53"/>
      <c r="G17" s="53"/>
      <c r="H17" s="53"/>
      <c r="I17" s="1"/>
      <c r="J17" s="1"/>
      <c r="K17" s="1"/>
      <c r="L17" s="1"/>
    </row>
    <row r="18" ht="19" customHeight="1" spans="1:12" x14ac:dyDescent="0.25">
      <c r="A18" s="1"/>
      <c r="B18" s="66">
        <f>IF('Vendors &amp; Real Cost'!B18="","",'Vendors &amp; Real Cost'!B18)</f>
      </c>
      <c r="C18" s="67">
        <f>IF('Vendors &amp; Real Cost'!C18="","",'Vendors &amp; Real Cost'!C18)</f>
      </c>
      <c r="D18" s="53"/>
      <c r="E18" s="56"/>
      <c r="F18" s="53"/>
      <c r="G18" s="53"/>
      <c r="H18" s="53"/>
      <c r="I18" s="1"/>
      <c r="J18" s="1"/>
      <c r="K18" s="1"/>
      <c r="L18" s="1"/>
    </row>
    <row r="19" ht="19" customHeight="1" spans="1:12" x14ac:dyDescent="0.25">
      <c r="A19" s="1"/>
      <c r="B19" s="68">
        <f>IF('Vendors &amp; Real Cost'!B19="","",'Vendors &amp; Real Cost'!B19)</f>
      </c>
      <c r="C19" s="69">
        <f>IF('Vendors &amp; Real Cost'!C19="","",'Vendors &amp; Real Cost'!C19)</f>
      </c>
      <c r="D19" s="53"/>
      <c r="E19" s="56"/>
      <c r="F19" s="53"/>
      <c r="G19" s="53"/>
      <c r="H19" s="53"/>
      <c r="I19" s="1"/>
      <c r="J19" s="1"/>
      <c r="K19" s="1"/>
      <c r="L19" s="1"/>
    </row>
    <row r="20" ht="19" customHeight="1" spans="1:12" x14ac:dyDescent="0.25">
      <c r="A20" s="1"/>
      <c r="B20" s="66">
        <f>IF('Vendors &amp; Real Cost'!B20="","",'Vendors &amp; Real Cost'!B20)</f>
      </c>
      <c r="C20" s="67">
        <f>IF('Vendors &amp; Real Cost'!C20="","",'Vendors &amp; Real Cost'!C20)</f>
      </c>
      <c r="D20" s="53"/>
      <c r="E20" s="56"/>
      <c r="F20" s="53"/>
      <c r="G20" s="53"/>
      <c r="H20" s="53"/>
      <c r="I20" s="1"/>
      <c r="J20" s="1"/>
      <c r="K20" s="1"/>
      <c r="L20" s="1"/>
    </row>
    <row r="21" ht="19" customHeight="1" spans="1:12" x14ac:dyDescent="0.25">
      <c r="A21" s="1"/>
      <c r="B21" s="68">
        <f>IF('Vendors &amp; Real Cost'!B21="","",'Vendors &amp; Real Cost'!B21)</f>
      </c>
      <c r="C21" s="69">
        <f>IF('Vendors &amp; Real Cost'!C21="","",'Vendors &amp; Real Cost'!C21)</f>
      </c>
      <c r="D21" s="53"/>
      <c r="E21" s="56"/>
      <c r="F21" s="53"/>
      <c r="G21" s="53"/>
      <c r="H21" s="53"/>
      <c r="I21" s="1"/>
      <c r="J21" s="1"/>
      <c r="K21" s="1"/>
      <c r="L21" s="1"/>
    </row>
    <row r="22" ht="19" customHeight="1" spans="1:12" x14ac:dyDescent="0.25">
      <c r="A22" s="1"/>
      <c r="B22" s="66">
        <f>IF('Vendors &amp; Real Cost'!B22="","",'Vendors &amp; Real Cost'!B22)</f>
      </c>
      <c r="C22" s="67">
        <f>IF('Vendors &amp; Real Cost'!C22="","",'Vendors &amp; Real Cost'!C22)</f>
      </c>
      <c r="D22" s="53"/>
      <c r="E22" s="56"/>
      <c r="F22" s="53"/>
      <c r="G22" s="53"/>
      <c r="H22" s="53"/>
      <c r="I22" s="1"/>
      <c r="J22" s="1"/>
      <c r="K22" s="1"/>
      <c r="L22" s="1"/>
    </row>
    <row r="23" ht="19" customHeight="1" spans="1:12" x14ac:dyDescent="0.25">
      <c r="A23" s="1"/>
      <c r="B23" s="68">
        <f>IF('Vendors &amp; Real Cost'!B23="","",'Vendors &amp; Real Cost'!B23)</f>
      </c>
      <c r="C23" s="69">
        <f>IF('Vendors &amp; Real Cost'!C23="","",'Vendors &amp; Real Cost'!C23)</f>
      </c>
      <c r="D23" s="53"/>
      <c r="E23" s="56"/>
      <c r="F23" s="53"/>
      <c r="G23" s="53"/>
      <c r="H23" s="53"/>
      <c r="I23" s="1"/>
      <c r="J23" s="1"/>
      <c r="K23" s="1"/>
      <c r="L23" s="1"/>
    </row>
    <row r="24" ht="19" customHeight="1" spans="1:12" x14ac:dyDescent="0.25">
      <c r="A24" s="1"/>
      <c r="B24" s="66">
        <f>IF('Vendors &amp; Real Cost'!B24="","",'Vendors &amp; Real Cost'!B24)</f>
      </c>
      <c r="C24" s="67">
        <f>IF('Vendors &amp; Real Cost'!C24="","",'Vendors &amp; Real Cost'!C24)</f>
      </c>
      <c r="D24" s="53"/>
      <c r="E24" s="56"/>
      <c r="F24" s="53"/>
      <c r="G24" s="53"/>
      <c r="H24" s="53"/>
      <c r="I24" s="1"/>
      <c r="J24" s="1"/>
      <c r="K24" s="1"/>
      <c r="L24" s="1"/>
    </row>
    <row r="25" ht="19" customHeight="1" spans="1:12" x14ac:dyDescent="0.25">
      <c r="A25" s="1"/>
      <c r="B25" s="68">
        <f>IF('Vendors &amp; Real Cost'!B25="","",'Vendors &amp; Real Cost'!B25)</f>
      </c>
      <c r="C25" s="69">
        <f>IF('Vendors &amp; Real Cost'!C25="","",'Vendors &amp; Real Cost'!C25)</f>
      </c>
      <c r="D25" s="53"/>
      <c r="E25" s="56"/>
      <c r="F25" s="53"/>
      <c r="G25" s="53"/>
      <c r="H25" s="53"/>
      <c r="I25" s="1"/>
      <c r="J25" s="1"/>
      <c r="K25" s="1"/>
      <c r="L25" s="1"/>
    </row>
    <row r="26" ht="19" customHeight="1" spans="1:12" x14ac:dyDescent="0.25">
      <c r="A26" s="1"/>
      <c r="B26" s="66">
        <f>IF('Vendors &amp; Real Cost'!B26="","",'Vendors &amp; Real Cost'!B26)</f>
      </c>
      <c r="C26" s="67">
        <f>IF('Vendors &amp; Real Cost'!C26="","",'Vendors &amp; Real Cost'!C26)</f>
      </c>
      <c r="D26" s="53"/>
      <c r="E26" s="56"/>
      <c r="F26" s="53"/>
      <c r="G26" s="53"/>
      <c r="H26" s="53"/>
      <c r="I26" s="1"/>
      <c r="J26" s="1"/>
      <c r="K26" s="1"/>
      <c r="L26" s="1"/>
    </row>
    <row r="27" ht="19" customHeight="1" spans="1:12" x14ac:dyDescent="0.25">
      <c r="A27" s="1"/>
      <c r="B27" s="68">
        <f>IF('Vendors &amp; Real Cost'!B27="","",'Vendors &amp; Real Cost'!B27)</f>
      </c>
      <c r="C27" s="69">
        <f>IF('Vendors &amp; Real Cost'!C27="","",'Vendors &amp; Real Cost'!C27)</f>
      </c>
      <c r="D27" s="53"/>
      <c r="E27" s="56"/>
      <c r="F27" s="53"/>
      <c r="G27" s="53"/>
      <c r="H27" s="53"/>
      <c r="I27" s="1"/>
      <c r="J27" s="1"/>
      <c r="K27" s="1"/>
      <c r="L27" s="1"/>
    </row>
    <row r="28" ht="19" customHeight="1" spans="1:12" x14ac:dyDescent="0.25">
      <c r="A28" s="1"/>
      <c r="B28" s="66">
        <f>IF('Vendors &amp; Real Cost'!B28="","",'Vendors &amp; Real Cost'!B28)</f>
      </c>
      <c r="C28" s="67">
        <f>IF('Vendors &amp; Real Cost'!C28="","",'Vendors &amp; Real Cost'!C28)</f>
      </c>
      <c r="D28" s="53"/>
      <c r="E28" s="56"/>
      <c r="F28" s="53"/>
      <c r="G28" s="53"/>
      <c r="H28" s="53"/>
      <c r="I28" s="1"/>
      <c r="J28" s="1"/>
      <c r="K28" s="1"/>
      <c r="L28" s="1"/>
    </row>
    <row r="29" ht="19" customHeight="1" spans="1:12" x14ac:dyDescent="0.25">
      <c r="A29" s="1"/>
      <c r="B29" s="68">
        <f>IF('Vendors &amp; Real Cost'!B29="","",'Vendors &amp; Real Cost'!B29)</f>
      </c>
      <c r="C29" s="69">
        <f>IF('Vendors &amp; Real Cost'!C29="","",'Vendors &amp; Real Cost'!C29)</f>
      </c>
      <c r="D29" s="53"/>
      <c r="E29" s="56"/>
      <c r="F29" s="53"/>
      <c r="G29" s="53"/>
      <c r="H29" s="53"/>
      <c r="I29" s="1"/>
      <c r="J29" s="1"/>
      <c r="K29" s="1"/>
      <c r="L29" s="1"/>
    </row>
    <row r="30" ht="19" customHeight="1" spans="1:12" x14ac:dyDescent="0.25">
      <c r="A30" s="1"/>
      <c r="B30" s="66">
        <f>IF('Vendors &amp; Real Cost'!B30="","",'Vendors &amp; Real Cost'!B30)</f>
      </c>
      <c r="C30" s="67">
        <f>IF('Vendors &amp; Real Cost'!C30="","",'Vendors &amp; Real Cost'!C30)</f>
      </c>
      <c r="D30" s="53"/>
      <c r="E30" s="56"/>
      <c r="F30" s="53"/>
      <c r="G30" s="53"/>
      <c r="H30" s="53"/>
      <c r="I30" s="1"/>
      <c r="J30" s="1"/>
      <c r="K30" s="1"/>
      <c r="L30" s="1"/>
    </row>
    <row r="31" ht="19" customHeight="1" spans="1:12" x14ac:dyDescent="0.25">
      <c r="A31" s="1"/>
      <c r="B31" s="68"/>
      <c r="C31" s="69"/>
      <c r="D31" s="53"/>
      <c r="E31" s="56"/>
      <c r="F31" s="53"/>
      <c r="G31" s="53"/>
      <c r="H31" s="53"/>
      <c r="I31" s="1"/>
      <c r="J31" s="1"/>
      <c r="K31" s="1"/>
      <c r="L31" s="1"/>
    </row>
    <row r="32" ht="19" customHeight="1" spans="1:12" x14ac:dyDescent="0.25">
      <c r="A32" s="1"/>
      <c r="B32" s="70" t="s">
        <v>161</v>
      </c>
      <c r="C32" s="67"/>
      <c r="D32" s="53"/>
      <c r="E32" s="56"/>
      <c r="F32" s="53"/>
      <c r="G32" s="53"/>
      <c r="H32" s="53"/>
      <c r="I32" s="1"/>
      <c r="J32" s="1"/>
      <c r="K32" s="1"/>
      <c r="L32" s="1"/>
    </row>
    <row r="33" ht="19" customHeight="1" spans="1:12" x14ac:dyDescent="0.25">
      <c r="A33" s="1"/>
      <c r="B33" s="52"/>
      <c r="C33" s="53"/>
      <c r="D33" s="53"/>
      <c r="E33" s="56"/>
      <c r="F33" s="53"/>
      <c r="G33" s="53"/>
      <c r="H33" s="53"/>
      <c r="I33" s="1"/>
      <c r="J33" s="1"/>
      <c r="K33" s="1"/>
      <c r="L33" s="1"/>
    </row>
    <row r="34" ht="19" customHeight="1" spans="1:12" x14ac:dyDescent="0.25">
      <c r="A34" s="1"/>
      <c r="B34" s="52"/>
      <c r="C34" s="53"/>
      <c r="D34" s="53"/>
      <c r="E34" s="56"/>
      <c r="F34" s="53"/>
      <c r="G34" s="53"/>
      <c r="H34" s="53"/>
      <c r="I34" s="1"/>
      <c r="J34" s="1"/>
      <c r="K34" s="1"/>
      <c r="L34" s="1"/>
    </row>
    <row r="35" ht="19" customHeight="1" spans="1:12" x14ac:dyDescent="0.25">
      <c r="A35" s="1"/>
      <c r="B35" s="52"/>
      <c r="C35" s="53"/>
      <c r="D35" s="53"/>
      <c r="E35" s="56"/>
      <c r="F35" s="53"/>
      <c r="G35" s="53"/>
      <c r="H35" s="53"/>
      <c r="I35" s="1"/>
      <c r="J35" s="1"/>
      <c r="K35" s="1"/>
      <c r="L35" s="1"/>
    </row>
    <row r="36" ht="19" customHeight="1" spans="1:12" x14ac:dyDescent="0.25">
      <c r="A36" s="1"/>
      <c r="B36" s="52"/>
      <c r="C36" s="53"/>
      <c r="D36" s="53"/>
      <c r="E36" s="56"/>
      <c r="F36" s="53"/>
      <c r="G36" s="53"/>
      <c r="H36" s="53"/>
      <c r="I36" s="1"/>
      <c r="J36" s="1"/>
      <c r="K36" s="1"/>
      <c r="L36" s="1"/>
    </row>
    <row r="37" ht="19" customHeight="1" spans="1:12" x14ac:dyDescent="0.25">
      <c r="A37" s="1"/>
      <c r="B37" s="52"/>
      <c r="C37" s="53"/>
      <c r="D37" s="53"/>
      <c r="E37" s="56"/>
      <c r="F37" s="53"/>
      <c r="G37" s="53"/>
      <c r="H37" s="53"/>
      <c r="I37" s="1"/>
      <c r="J37" s="1"/>
      <c r="K37" s="1"/>
      <c r="L37" s="1"/>
    </row>
    <row r="38" ht="19" customHeight="1" spans="1:12" x14ac:dyDescent="0.25">
      <c r="A38" s="1"/>
      <c r="B38" s="52"/>
      <c r="C38" s="53"/>
      <c r="D38" s="53"/>
      <c r="E38" s="56"/>
      <c r="F38" s="53"/>
      <c r="G38" s="53"/>
      <c r="H38" s="53"/>
      <c r="I38" s="1"/>
      <c r="J38" s="1"/>
      <c r="K38" s="1"/>
      <c r="L38" s="1"/>
    </row>
    <row r="39" ht="19" customHeight="1" spans="1:12" x14ac:dyDescent="0.25">
      <c r="A39" s="1"/>
      <c r="B39" s="52"/>
      <c r="C39" s="53"/>
      <c r="D39" s="53"/>
      <c r="E39" s="56"/>
      <c r="F39" s="53"/>
      <c r="G39" s="53"/>
      <c r="H39" s="53"/>
      <c r="I39" s="1"/>
      <c r="J39" s="1"/>
      <c r="K39" s="1"/>
      <c r="L39" s="1"/>
    </row>
    <row r="40" ht="19" customHeight="1" spans="1:12" x14ac:dyDescent="0.25">
      <c r="A40" s="1"/>
      <c r="B40" s="52"/>
      <c r="C40" s="53"/>
      <c r="D40" s="53"/>
      <c r="E40" s="56"/>
      <c r="F40" s="53"/>
      <c r="G40" s="53"/>
      <c r="H40" s="53"/>
      <c r="I40" s="1"/>
      <c r="J40" s="1"/>
      <c r="K40" s="1"/>
      <c r="L40" s="1"/>
    </row>
    <row r="41" ht="19" customHeight="1" spans="1:12" x14ac:dyDescent="0.25">
      <c r="A41" s="1"/>
      <c r="B41" s="52"/>
      <c r="C41" s="53"/>
      <c r="D41" s="53"/>
      <c r="E41" s="56"/>
      <c r="F41" s="53"/>
      <c r="G41" s="53"/>
      <c r="H41" s="53"/>
      <c r="I41" s="1"/>
      <c r="J41" s="1"/>
      <c r="K41" s="1"/>
      <c r="L41" s="1"/>
    </row>
    <row r="42" ht="19" customHeight="1" spans="1:12" x14ac:dyDescent="0.25">
      <c r="A42" s="1"/>
      <c r="B42" s="52"/>
      <c r="C42" s="53"/>
      <c r="D42" s="53"/>
      <c r="E42" s="56"/>
      <c r="F42" s="53"/>
      <c r="G42" s="53"/>
      <c r="H42" s="53"/>
      <c r="I42" s="1"/>
      <c r="J42" s="1"/>
      <c r="K42" s="1"/>
      <c r="L42" s="1"/>
    </row>
    <row r="43" ht="19" customHeight="1" spans="1:12" x14ac:dyDescent="0.25">
      <c r="A43" s="1"/>
      <c r="B43" s="52"/>
      <c r="C43" s="53"/>
      <c r="D43" s="53"/>
      <c r="E43" s="56"/>
      <c r="F43" s="53"/>
      <c r="G43" s="53"/>
      <c r="H43" s="53"/>
      <c r="I43" s="1"/>
      <c r="J43" s="1"/>
      <c r="K43" s="1"/>
      <c r="L43" s="1"/>
    </row>
    <row r="44" ht="19" customHeight="1" spans="1:12" x14ac:dyDescent="0.25">
      <c r="A44" s="1"/>
      <c r="B44" s="52"/>
      <c r="C44" s="53"/>
      <c r="D44" s="53"/>
      <c r="E44" s="56"/>
      <c r="F44" s="53"/>
      <c r="G44" s="53"/>
      <c r="H44" s="53"/>
      <c r="I44" s="1"/>
      <c r="J44" s="1"/>
      <c r="K44" s="1"/>
      <c r="L44" s="1"/>
    </row>
    <row r="45" ht="19" customHeight="1" spans="1:12" x14ac:dyDescent="0.25">
      <c r="A45" s="1"/>
      <c r="B45" s="52"/>
      <c r="C45" s="53"/>
      <c r="D45" s="53"/>
      <c r="E45" s="56"/>
      <c r="F45" s="53"/>
      <c r="G45" s="53"/>
      <c r="H45" s="53"/>
      <c r="I45" s="1"/>
      <c r="J45" s="1"/>
      <c r="K45" s="1"/>
      <c r="L45" s="1"/>
    </row>
    <row r="46" spans="1:12" x14ac:dyDescent="0.25">
      <c r="A46" s="1"/>
      <c r="B46" s="1"/>
      <c r="C46" s="1"/>
      <c r="D46" s="1"/>
      <c r="E46" s="1"/>
      <c r="F46" s="1"/>
      <c r="G46" s="1"/>
      <c r="H46" s="1"/>
      <c r="I46" s="1"/>
      <c r="J46" s="1"/>
      <c r="K46" s="1"/>
      <c r="L46" s="1"/>
    </row>
    <row r="47" ht="18" customHeight="1" spans="1:12" x14ac:dyDescent="0.25">
      <c r="A47" s="1"/>
      <c r="B47" s="48" t="s">
        <v>162</v>
      </c>
      <c r="C47" s="48"/>
      <c r="D47" s="48"/>
      <c r="E47" s="48"/>
      <c r="F47" s="48"/>
      <c r="G47" s="48"/>
      <c r="H47" s="48"/>
      <c r="I47" s="48"/>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sheetData>
  <mergeCells count="3">
    <mergeCell ref="B2:J2"/>
    <mergeCell ref="B3:J3"/>
    <mergeCell ref="B47:I47"/>
  </mergeCells>
  <pageMargins left="0.4" right="0.4" top="0.5" bottom="0.5" header="0.2" footer="0.2"/>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L40"/>
  <sheetViews>
    <sheetView workbookViewId="0" showGridLines="0" zoomScale="100"/>
  </sheetViews>
  <sheetFormatPr defaultRowHeight="15" outlineLevelRow="0" outlineLevelCol="0" x14ac:dyDescent="55"/>
  <cols>
    <col min="1" max="1" width="3" customWidth="1"/>
    <col min="2" max="2" width="22" customWidth="1"/>
    <col min="3" max="3" width="13" customWidth="1"/>
    <col min="4" max="4" width="12" customWidth="1"/>
    <col min="5" max="5" width="13" customWidth="1"/>
    <col min="6" max="6" width="12" customWidth="1"/>
    <col min="7" max="7" width="13" customWidth="1"/>
    <col min="8" max="8" width="12" customWidth="1"/>
    <col min="9" max="9" width="10" customWidth="1"/>
    <col min="10" max="10" width="34" customWidth="1"/>
  </cols>
  <sheetData>
    <row r="1" ht="14" customHeight="1" spans="1:12" x14ac:dyDescent="0.25">
      <c r="A1" s="1"/>
      <c r="B1" s="1"/>
      <c r="C1" s="1"/>
      <c r="D1" s="1"/>
      <c r="E1" s="1"/>
      <c r="F1" s="1"/>
      <c r="G1" s="1"/>
      <c r="H1" s="1"/>
      <c r="I1" s="1"/>
      <c r="J1" s="1"/>
      <c r="K1" s="1"/>
      <c r="L1" s="1"/>
    </row>
    <row r="2" ht="38" customHeight="1" spans="1:12" x14ac:dyDescent="0.25">
      <c r="A2" s="1"/>
      <c r="B2" s="34" t="s">
        <v>177</v>
      </c>
      <c r="C2" s="34"/>
      <c r="D2" s="34"/>
      <c r="E2" s="34"/>
      <c r="F2" s="34"/>
      <c r="G2" s="34"/>
      <c r="H2" s="34"/>
      <c r="I2" s="34"/>
      <c r="J2" s="34"/>
      <c r="K2" s="1"/>
      <c r="L2" s="1"/>
    </row>
    <row r="3" ht="18" customHeight="1" spans="1:12" x14ac:dyDescent="0.25">
      <c r="A3" s="1"/>
      <c r="B3" s="35" t="s">
        <v>178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78</v>
      </c>
      <c r="C5" s="50" t="s">
        <v>179</v>
      </c>
      <c r="D5" s="51" t="s">
        <v>180</v>
      </c>
      <c r="E5" s="50" t="s">
        <v>181</v>
      </c>
      <c r="F5" s="51" t="s">
        <v>180</v>
      </c>
      <c r="G5" s="50" t="s">
        <v>182</v>
      </c>
      <c r="H5" s="50" t="s">
        <v>183</v>
      </c>
      <c r="I5" s="51" t="s">
        <v>184</v>
      </c>
      <c r="J5" s="49" t="s">
        <v>185</v>
      </c>
      <c r="K5" s="1"/>
      <c r="L5" s="1"/>
    </row>
    <row r="6" ht="19" customHeight="1" spans="1:12" x14ac:dyDescent="0.25">
      <c r="A6" s="1"/>
      <c r="B6" s="52" t="s">
        <v>92</v>
      </c>
      <c r="C6" s="54">
        <v>10500</v>
      </c>
      <c r="D6" s="83">
        <v>46171</v>
      </c>
      <c r="E6" s="54">
        <v>11000</v>
      </c>
      <c r="F6" s="83">
        <v>46231</v>
      </c>
      <c r="G6" s="54">
        <v>11000</v>
      </c>
      <c r="H6" s="59">
        <f>IF(B6="","",IF(G6&lt;&gt;"",G6,IF(E6&lt;&gt;"",E6,C6))-C6)</f>
      </c>
      <c r="I6" s="84">
        <f>IF(OR(B6="",C6=0,C6=""),"",H6/C6)</f>
      </c>
      <c r="J6" s="53" t="s">
        <v>186</v>
      </c>
      <c r="K6" s="1"/>
      <c r="L6" s="1"/>
    </row>
    <row r="7" ht="19" customHeight="1" spans="1:12" x14ac:dyDescent="0.25">
      <c r="A7" s="1"/>
      <c r="B7" s="52" t="s">
        <v>94</v>
      </c>
      <c r="C7" s="54">
        <v>7200</v>
      </c>
      <c r="D7" s="83">
        <v>46181</v>
      </c>
      <c r="E7" s="54">
        <v>7800</v>
      </c>
      <c r="F7" s="83">
        <v>46246</v>
      </c>
      <c r="G7" s="54">
        <v>7800</v>
      </c>
      <c r="H7" s="61">
        <f>IF(B7="","",IF(G7&lt;&gt;"",G7,IF(E7&lt;&gt;"",E7,C7))-C7)</f>
      </c>
      <c r="I7" s="85">
        <f>IF(OR(B7="",C7=0,C7=""),"",H7/C7)</f>
      </c>
      <c r="J7" s="53" t="s">
        <v>187</v>
      </c>
      <c r="K7" s="1"/>
      <c r="L7" s="1"/>
    </row>
    <row r="8" ht="19" customHeight="1" spans="1:12" x14ac:dyDescent="0.25">
      <c r="A8" s="1"/>
      <c r="B8" s="52" t="s">
        <v>97</v>
      </c>
      <c r="C8" s="54">
        <v>3500</v>
      </c>
      <c r="D8" s="83">
        <v>46191</v>
      </c>
      <c r="E8" s="54"/>
      <c r="F8" s="83"/>
      <c r="G8" s="54">
        <v>3500</v>
      </c>
      <c r="H8" s="59">
        <f>IF(B8="","",IF(G8&lt;&gt;"",G8,IF(E8&lt;&gt;"",E8,C8))-C8)</f>
      </c>
      <c r="I8" s="84">
        <f>IF(OR(B8="",C8=0,C8=""),"",H8/C8)</f>
      </c>
      <c r="J8" s="53" t="s">
        <v>151</v>
      </c>
      <c r="K8" s="1"/>
      <c r="L8" s="1"/>
    </row>
    <row r="9" ht="19" customHeight="1" spans="1:12" x14ac:dyDescent="0.25">
      <c r="A9" s="1"/>
      <c r="B9" s="52" t="s">
        <v>99</v>
      </c>
      <c r="C9" s="54">
        <v>1500</v>
      </c>
      <c r="D9" s="83">
        <v>46211</v>
      </c>
      <c r="E9" s="54">
        <v>1750</v>
      </c>
      <c r="F9" s="83">
        <v>46261</v>
      </c>
      <c r="G9" s="54"/>
      <c r="H9" s="61">
        <f>IF(B9="","",IF(G9&lt;&gt;"",G9,IF(E9&lt;&gt;"",E9,C9))-C9)</f>
      </c>
      <c r="I9" s="85">
        <f>IF(OR(B9="",C9=0,C9=""),"",H9/C9)</f>
      </c>
      <c r="J9" s="53" t="s">
        <v>188</v>
      </c>
      <c r="K9" s="1"/>
      <c r="L9" s="1"/>
    </row>
    <row r="10" ht="19" customHeight="1" spans="1:12" x14ac:dyDescent="0.25">
      <c r="A10" s="1"/>
      <c r="B10" s="52" t="s">
        <v>101</v>
      </c>
      <c r="C10" s="54">
        <v>1400</v>
      </c>
      <c r="D10" s="83">
        <v>46216</v>
      </c>
      <c r="E10" s="54"/>
      <c r="F10" s="83"/>
      <c r="G10" s="54">
        <v>1400</v>
      </c>
      <c r="H10" s="59">
        <f>IF(B10="","",IF(G10&lt;&gt;"",G10,IF(E10&lt;&gt;"",E10,C10))-C10)</f>
      </c>
      <c r="I10" s="84">
        <f>IF(OR(B10="",C10=0,C10=""),"",H10/C10)</f>
      </c>
      <c r="J10" s="53" t="s">
        <v>151</v>
      </c>
      <c r="K10" s="1"/>
      <c r="L10" s="1"/>
    </row>
    <row r="11" ht="19" customHeight="1" spans="1:12" x14ac:dyDescent="0.25">
      <c r="A11" s="1"/>
      <c r="B11" s="52"/>
      <c r="C11" s="54"/>
      <c r="D11" s="83"/>
      <c r="E11" s="54"/>
      <c r="F11" s="83"/>
      <c r="G11" s="54"/>
      <c r="H11" s="61">
        <f>IF(B11="","",IF(G11&lt;&gt;"",G11,IF(E11&lt;&gt;"",E11,C11))-C11)</f>
      </c>
      <c r="I11" s="85">
        <f>IF(OR(B11="",C11=0,C11=""),"",H11/C11)</f>
      </c>
      <c r="J11" s="53"/>
      <c r="K11" s="1"/>
      <c r="L11" s="1"/>
    </row>
    <row r="12" ht="19" customHeight="1" spans="1:12" x14ac:dyDescent="0.25">
      <c r="A12" s="1"/>
      <c r="B12" s="52"/>
      <c r="C12" s="54"/>
      <c r="D12" s="83"/>
      <c r="E12" s="54"/>
      <c r="F12" s="83"/>
      <c r="G12" s="54"/>
      <c r="H12" s="59">
        <f>IF(B12="","",IF(G12&lt;&gt;"",G12,IF(E12&lt;&gt;"",E12,C12))-C12)</f>
      </c>
      <c r="I12" s="84">
        <f>IF(OR(B12="",C12=0,C12=""),"",H12/C12)</f>
      </c>
      <c r="J12" s="53"/>
      <c r="K12" s="1"/>
      <c r="L12" s="1"/>
    </row>
    <row r="13" ht="19" customHeight="1" spans="1:12" x14ac:dyDescent="0.25">
      <c r="A13" s="1"/>
      <c r="B13" s="52"/>
      <c r="C13" s="54"/>
      <c r="D13" s="83"/>
      <c r="E13" s="54"/>
      <c r="F13" s="83"/>
      <c r="G13" s="54"/>
      <c r="H13" s="61">
        <f>IF(B13="","",IF(G13&lt;&gt;"",G13,IF(E13&lt;&gt;"",E13,C13))-C13)</f>
      </c>
      <c r="I13" s="85">
        <f>IF(OR(B13="",C13=0,C13=""),"",H13/C13)</f>
      </c>
      <c r="J13" s="53"/>
      <c r="K13" s="1"/>
      <c r="L13" s="1"/>
    </row>
    <row r="14" ht="19" customHeight="1" spans="1:12" x14ac:dyDescent="0.25">
      <c r="A14" s="1"/>
      <c r="B14" s="52"/>
      <c r="C14" s="54"/>
      <c r="D14" s="83"/>
      <c r="E14" s="54"/>
      <c r="F14" s="83"/>
      <c r="G14" s="54"/>
      <c r="H14" s="59">
        <f>IF(B14="","",IF(G14&lt;&gt;"",G14,IF(E14&lt;&gt;"",E14,C14))-C14)</f>
      </c>
      <c r="I14" s="84">
        <f>IF(OR(B14="",C14=0,C14=""),"",H14/C14)</f>
      </c>
      <c r="J14" s="53"/>
      <c r="K14" s="1"/>
      <c r="L14" s="1"/>
    </row>
    <row r="15" ht="19" customHeight="1" spans="1:12" x14ac:dyDescent="0.25">
      <c r="A15" s="1"/>
      <c r="B15" s="52"/>
      <c r="C15" s="54"/>
      <c r="D15" s="83"/>
      <c r="E15" s="54"/>
      <c r="F15" s="83"/>
      <c r="G15" s="54"/>
      <c r="H15" s="61">
        <f>IF(B15="","",IF(G15&lt;&gt;"",G15,IF(E15&lt;&gt;"",E15,C15))-C15)</f>
      </c>
      <c r="I15" s="85">
        <f>IF(OR(B15="",C15=0,C15=""),"",H15/C15)</f>
      </c>
      <c r="J15" s="53"/>
      <c r="K15" s="1"/>
      <c r="L15" s="1"/>
    </row>
    <row r="16" ht="19" customHeight="1" spans="1:12" x14ac:dyDescent="0.25">
      <c r="A16" s="1"/>
      <c r="B16" s="52"/>
      <c r="C16" s="54"/>
      <c r="D16" s="83"/>
      <c r="E16" s="54"/>
      <c r="F16" s="83"/>
      <c r="G16" s="54"/>
      <c r="H16" s="59">
        <f>IF(B16="","",IF(G16&lt;&gt;"",G16,IF(E16&lt;&gt;"",E16,C16))-C16)</f>
      </c>
      <c r="I16" s="84">
        <f>IF(OR(B16="",C16=0,C16=""),"",H16/C16)</f>
      </c>
      <c r="J16" s="53"/>
      <c r="K16" s="1"/>
      <c r="L16" s="1"/>
    </row>
    <row r="17" ht="19" customHeight="1" spans="1:12" x14ac:dyDescent="0.25">
      <c r="A17" s="1"/>
      <c r="B17" s="52"/>
      <c r="C17" s="54"/>
      <c r="D17" s="83"/>
      <c r="E17" s="54"/>
      <c r="F17" s="83"/>
      <c r="G17" s="54"/>
      <c r="H17" s="61">
        <f>IF(B17="","",IF(G17&lt;&gt;"",G17,IF(E17&lt;&gt;"",E17,C17))-C17)</f>
      </c>
      <c r="I17" s="85">
        <f>IF(OR(B17="",C17=0,C17=""),"",H17/C17)</f>
      </c>
      <c r="J17" s="53"/>
      <c r="K17" s="1"/>
      <c r="L17" s="1"/>
    </row>
    <row r="18" ht="19" customHeight="1" spans="1:12" x14ac:dyDescent="0.25">
      <c r="A18" s="1"/>
      <c r="B18" s="52"/>
      <c r="C18" s="54"/>
      <c r="D18" s="83"/>
      <c r="E18" s="54"/>
      <c r="F18" s="83"/>
      <c r="G18" s="54"/>
      <c r="H18" s="59">
        <f>IF(B18="","",IF(G18&lt;&gt;"",G18,IF(E18&lt;&gt;"",E18,C18))-C18)</f>
      </c>
      <c r="I18" s="84">
        <f>IF(OR(B18="",C18=0,C18=""),"",H18/C18)</f>
      </c>
      <c r="J18" s="53"/>
      <c r="K18" s="1"/>
      <c r="L18" s="1"/>
    </row>
    <row r="19" ht="19" customHeight="1" spans="1:12" x14ac:dyDescent="0.25">
      <c r="A19" s="1"/>
      <c r="B19" s="52"/>
      <c r="C19" s="54"/>
      <c r="D19" s="83"/>
      <c r="E19" s="54"/>
      <c r="F19" s="83"/>
      <c r="G19" s="54"/>
      <c r="H19" s="61">
        <f>IF(B19="","",IF(G19&lt;&gt;"",G19,IF(E19&lt;&gt;"",E19,C19))-C19)</f>
      </c>
      <c r="I19" s="85">
        <f>IF(OR(B19="",C19=0,C19=""),"",H19/C19)</f>
      </c>
      <c r="J19" s="53"/>
      <c r="K19" s="1"/>
      <c r="L19" s="1"/>
    </row>
    <row r="20" ht="19" customHeight="1" spans="1:12" x14ac:dyDescent="0.25">
      <c r="A20" s="1"/>
      <c r="B20" s="52"/>
      <c r="C20" s="54"/>
      <c r="D20" s="83"/>
      <c r="E20" s="54"/>
      <c r="F20" s="83"/>
      <c r="G20" s="54"/>
      <c r="H20" s="59">
        <f>IF(B20="","",IF(G20&lt;&gt;"",G20,IF(E20&lt;&gt;"",E20,C20))-C20)</f>
      </c>
      <c r="I20" s="84">
        <f>IF(OR(B20="",C20=0,C20=""),"",H20/C20)</f>
      </c>
      <c r="J20" s="53"/>
      <c r="K20" s="1"/>
      <c r="L20" s="1"/>
    </row>
    <row r="21" ht="19" customHeight="1" spans="1:12" x14ac:dyDescent="0.25">
      <c r="A21" s="1"/>
      <c r="B21" s="52"/>
      <c r="C21" s="54"/>
      <c r="D21" s="83"/>
      <c r="E21" s="54"/>
      <c r="F21" s="83"/>
      <c r="G21" s="54"/>
      <c r="H21" s="61">
        <f>IF(B21="","",IF(G21&lt;&gt;"",G21,IF(E21&lt;&gt;"",E21,C21))-C21)</f>
      </c>
      <c r="I21" s="85">
        <f>IF(OR(B21="",C21=0,C21=""),"",H21/C21)</f>
      </c>
      <c r="J21" s="53"/>
      <c r="K21" s="1"/>
      <c r="L21" s="1"/>
    </row>
    <row r="22" ht="19" customHeight="1" spans="1:12" x14ac:dyDescent="0.25">
      <c r="A22" s="1"/>
      <c r="B22" s="52"/>
      <c r="C22" s="54"/>
      <c r="D22" s="83"/>
      <c r="E22" s="54"/>
      <c r="F22" s="83"/>
      <c r="G22" s="54"/>
      <c r="H22" s="59">
        <f>IF(B22="","",IF(G22&lt;&gt;"",G22,IF(E22&lt;&gt;"",E22,C22))-C22)</f>
      </c>
      <c r="I22" s="84">
        <f>IF(OR(B22="",C22=0,C22=""),"",H22/C22)</f>
      </c>
      <c r="J22" s="53"/>
      <c r="K22" s="1"/>
      <c r="L22" s="1"/>
    </row>
    <row r="23" ht="19" customHeight="1" spans="1:12" x14ac:dyDescent="0.25">
      <c r="A23" s="1"/>
      <c r="B23" s="52"/>
      <c r="C23" s="54"/>
      <c r="D23" s="83"/>
      <c r="E23" s="54"/>
      <c r="F23" s="83"/>
      <c r="G23" s="54"/>
      <c r="H23" s="61">
        <f>IF(B23="","",IF(G23&lt;&gt;"",G23,IF(E23&lt;&gt;"",E23,C23))-C23)</f>
      </c>
      <c r="I23" s="85">
        <f>IF(OR(B23="",C23=0,C23=""),"",H23/C23)</f>
      </c>
      <c r="J23" s="53"/>
      <c r="K23" s="1"/>
      <c r="L23" s="1"/>
    </row>
    <row r="24" ht="19" customHeight="1" spans="1:12" x14ac:dyDescent="0.25">
      <c r="A24" s="1"/>
      <c r="B24" s="52"/>
      <c r="C24" s="54"/>
      <c r="D24" s="83"/>
      <c r="E24" s="54"/>
      <c r="F24" s="83"/>
      <c r="G24" s="54"/>
      <c r="H24" s="59">
        <f>IF(B24="","",IF(G24&lt;&gt;"",G24,IF(E24&lt;&gt;"",E24,C24))-C24)</f>
      </c>
      <c r="I24" s="84">
        <f>IF(OR(B24="",C24=0,C24=""),"",H24/C24)</f>
      </c>
      <c r="J24" s="53"/>
      <c r="K24" s="1"/>
      <c r="L24" s="1"/>
    </row>
    <row r="25" ht="19" customHeight="1" spans="1:12" x14ac:dyDescent="0.25">
      <c r="A25" s="1"/>
      <c r="B25" s="52"/>
      <c r="C25" s="54"/>
      <c r="D25" s="83"/>
      <c r="E25" s="54"/>
      <c r="F25" s="83"/>
      <c r="G25" s="54"/>
      <c r="H25" s="61">
        <f>IF(B25="","",IF(G25&lt;&gt;"",G25,IF(E25&lt;&gt;"",E25,C25))-C25)</f>
      </c>
      <c r="I25" s="85">
        <f>IF(OR(B25="",C25=0,C25=""),"",H25/C25)</f>
      </c>
      <c r="J25" s="53"/>
      <c r="K25" s="1"/>
      <c r="L25" s="1"/>
    </row>
    <row r="26" ht="24" customHeight="1" spans="1:12" x14ac:dyDescent="0.25">
      <c r="A26" s="1"/>
      <c r="B26" s="62" t="s">
        <v>189</v>
      </c>
      <c r="C26" s="64">
        <f>SUM(C6:C25)</f>
      </c>
      <c r="D26" s="63"/>
      <c r="E26" s="63"/>
      <c r="F26" s="63"/>
      <c r="G26" s="63"/>
      <c r="H26" s="64">
        <f>SUM(H6:H25)</f>
      </c>
      <c r="I26" s="86">
        <f>IF(SUM(C6:C25)=0,"",SUM(H6:H25)/SUM(C6:C25))</f>
      </c>
      <c r="J26" s="63"/>
      <c r="K26" s="1"/>
      <c r="L26" s="1"/>
    </row>
    <row r="27" spans="1:12" x14ac:dyDescent="0.25">
      <c r="A27" s="1"/>
      <c r="B27" s="1"/>
      <c r="C27" s="1"/>
      <c r="D27" s="1"/>
      <c r="E27" s="1"/>
      <c r="F27" s="1"/>
      <c r="G27" s="1"/>
      <c r="H27" s="1"/>
      <c r="I27" s="1"/>
      <c r="J27" s="1"/>
      <c r="K27" s="1"/>
      <c r="L27" s="1"/>
    </row>
    <row r="28" ht="18" customHeight="1" spans="1:12" x14ac:dyDescent="0.25">
      <c r="A28" s="1"/>
      <c r="B28" s="48" t="s">
        <v>190</v>
      </c>
      <c r="C28" s="48"/>
      <c r="D28" s="48"/>
      <c r="E28" s="48"/>
      <c r="F28" s="48"/>
      <c r="G28" s="48"/>
      <c r="H28" s="48"/>
      <c r="I28" s="48"/>
      <c r="J28" s="48"/>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8:J28"/>
  </mergeCells>
  <conditionalFormatting sqref="H6:H25">
    <cfRule type="expression" dxfId="6" priority="1">
      <formula>H6&gt;0</formula>
    </cfRule>
  </conditionalFormatting>
  <conditionalFormatting sqref="H6:H25">
    <cfRule type="expression" dxfId="7" priority="1">
      <formula>AND(H6&lt;&gt;"",H6&lt;0)</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pageSetUpPr fitToPage="1"/>
  </sheetPr>
  <dimension ref="A1:N73"/>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14" customWidth="1"/>
    <col min="3" max="4" width="16" customWidth="1"/>
    <col min="5" max="5" width="24" customWidth="1"/>
    <col min="6" max="6" width="10" customWidth="1"/>
    <col min="7" max="7" width="11" customWidth="1"/>
    <col min="8" max="8" width="15" customWidth="1"/>
    <col min="9" max="9" width="9" hidden="1" customWidth="1"/>
    <col min="10" max="10" width="9" hidden="1"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163</v>
      </c>
      <c r="C2" s="34"/>
      <c r="D2" s="34"/>
      <c r="E2" s="34"/>
      <c r="F2" s="34"/>
      <c r="G2" s="34"/>
      <c r="H2" s="34"/>
      <c r="I2" s="34"/>
      <c r="J2" s="34"/>
      <c r="K2" s="34"/>
      <c r="L2" s="34"/>
      <c r="M2" s="1"/>
      <c r="N2" s="1"/>
    </row>
    <row r="3" ht="18" customHeight="1" spans="1:14" x14ac:dyDescent="0.25">
      <c r="A3" s="1"/>
      <c r="B3" s="35" t="s">
        <v>164</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51" t="s">
        <v>165</v>
      </c>
      <c r="C5" s="49" t="s">
        <v>78</v>
      </c>
      <c r="D5" s="49" t="s">
        <v>166</v>
      </c>
      <c r="E5" s="50" t="s">
        <v>167</v>
      </c>
      <c r="F5" s="51" t="s">
        <v>168</v>
      </c>
      <c r="G5" s="51" t="s">
        <v>169</v>
      </c>
      <c r="H5" s="51" t="s">
        <v>170</v>
      </c>
      <c r="I5" s="1"/>
      <c r="J5" s="1"/>
      <c r="K5" s="1"/>
      <c r="L5" s="1"/>
      <c r="M5" s="1"/>
      <c r="N5" s="1"/>
    </row>
    <row r="6" ht="19" customHeight="1" spans="1:14" x14ac:dyDescent="0.25">
      <c r="A6" s="1"/>
      <c r="B6" s="71">
        <f>IF('Vendors &amp; Real Cost'!B6="","",'Vendors &amp; Real Cost'!O6)</f>
      </c>
      <c r="C6" s="67">
        <f>IF('Vendors &amp; Real Cost'!B6="","",'Vendors &amp; Real Cost'!B6)</f>
      </c>
      <c r="D6" s="67" t="s">
        <v>86</v>
      </c>
      <c r="E6" s="59">
        <f>IF('Vendors &amp; Real Cost'!B6="","",'Vendors &amp; Real Cost'!N6)</f>
      </c>
      <c r="F6" s="72">
        <f>IF(C6="","",IF('Vendors &amp; Real Cost'!R6="Yes","Yes",IF(B6&lt;TODAY(),"Yes","No")))</f>
      </c>
      <c r="G6" s="72">
        <f>IF(OR(B6="",B6=0),"",B6-TODAY())</f>
      </c>
      <c r="H6" s="72">
        <f>IF(C6="","",IF(F6="Yes","Paid",IF(G6&lt;0,"OVERDUE",IF(G6&lt;=30,"Due soon","Upcoming"))))</f>
      </c>
      <c r="I6" s="1">
        <f>IF(OR(B6="",B6=0,F6="Yes"),"",DATE(YEAR(B6),MONTH(B6),1))</f>
      </c>
      <c r="J6" s="1">
        <f>IF(OR(C6="",F6="Yes"),"",B6+ROW()/100000)</f>
      </c>
      <c r="K6" s="1"/>
      <c r="L6" s="1"/>
      <c r="M6" s="1"/>
      <c r="N6" s="1"/>
    </row>
    <row r="7" ht="19" customHeight="1" spans="1:14" x14ac:dyDescent="0.25">
      <c r="A7" s="1"/>
      <c r="B7" s="73">
        <f>IF('Vendors &amp; Real Cost'!B6="","",'Vendors &amp; Real Cost'!Q6)</f>
      </c>
      <c r="C7" s="69">
        <f>IF('Vendors &amp; Real Cost'!B6="","",'Vendors &amp; Real Cost'!B6)</f>
      </c>
      <c r="D7" s="69" t="s">
        <v>88</v>
      </c>
      <c r="E7" s="61">
        <f>IF('Vendors &amp; Real Cost'!B6="","",'Vendors &amp; Real Cost'!P6)</f>
      </c>
      <c r="F7" s="74">
        <f>IF(C7="","",IF('Vendors &amp; Real Cost'!R6="Yes","Yes","No"))</f>
      </c>
      <c r="G7" s="74">
        <f>IF(OR(B7="",B7=0),"",B7-TODAY())</f>
      </c>
      <c r="H7" s="74">
        <f>IF(C7="","",IF(F7="Yes","Paid",IF(G7&lt;0,"OVERDUE",IF(G7&lt;=30,"Due soon","Upcoming"))))</f>
      </c>
      <c r="I7" s="1">
        <f>IF(OR(B7="",B7=0,F7="Yes"),"",DATE(YEAR(B7),MONTH(B7),1))</f>
      </c>
      <c r="J7" s="1">
        <f>IF(OR(C7="",F7="Yes"),"",B7+ROW()/100000)</f>
      </c>
      <c r="K7" s="1"/>
      <c r="L7" s="1"/>
      <c r="M7" s="1"/>
      <c r="N7" s="1"/>
    </row>
    <row r="8" ht="19" customHeight="1" spans="1:14" x14ac:dyDescent="0.25">
      <c r="A8" s="1"/>
      <c r="B8" s="71">
        <f>IF('Vendors &amp; Real Cost'!B7="","",'Vendors &amp; Real Cost'!O7)</f>
      </c>
      <c r="C8" s="67">
        <f>IF('Vendors &amp; Real Cost'!B7="","",'Vendors &amp; Real Cost'!B7)</f>
      </c>
      <c r="D8" s="67" t="s">
        <v>86</v>
      </c>
      <c r="E8" s="59">
        <f>IF('Vendors &amp; Real Cost'!B7="","",'Vendors &amp; Real Cost'!N7)</f>
      </c>
      <c r="F8" s="72">
        <f>IF(C8="","",IF('Vendors &amp; Real Cost'!R7="Yes","Yes",IF(B8&lt;TODAY(),"Yes","No")))</f>
      </c>
      <c r="G8" s="72">
        <f>IF(OR(B8="",B8=0),"",B8-TODAY())</f>
      </c>
      <c r="H8" s="72">
        <f>IF(C8="","",IF(F8="Yes","Paid",IF(G8&lt;0,"OVERDUE",IF(G8&lt;=30,"Due soon","Upcoming"))))</f>
      </c>
      <c r="I8" s="1">
        <f>IF(OR(B8="",B8=0,F8="Yes"),"",DATE(YEAR(B8),MONTH(B8),1))</f>
      </c>
      <c r="J8" s="1">
        <f>IF(OR(C8="",F8="Yes"),"",B8+ROW()/100000)</f>
      </c>
      <c r="K8" s="1"/>
      <c r="L8" s="1"/>
      <c r="M8" s="1"/>
      <c r="N8" s="1"/>
    </row>
    <row r="9" ht="19" customHeight="1" spans="1:14" x14ac:dyDescent="0.25">
      <c r="A9" s="1"/>
      <c r="B9" s="73">
        <f>IF('Vendors &amp; Real Cost'!B7="","",'Vendors &amp; Real Cost'!Q7)</f>
      </c>
      <c r="C9" s="69">
        <f>IF('Vendors &amp; Real Cost'!B7="","",'Vendors &amp; Real Cost'!B7)</f>
      </c>
      <c r="D9" s="69" t="s">
        <v>88</v>
      </c>
      <c r="E9" s="61">
        <f>IF('Vendors &amp; Real Cost'!B7="","",'Vendors &amp; Real Cost'!P7)</f>
      </c>
      <c r="F9" s="74">
        <f>IF(C9="","",IF('Vendors &amp; Real Cost'!R7="Yes","Yes","No"))</f>
      </c>
      <c r="G9" s="74">
        <f>IF(OR(B9="",B9=0),"",B9-TODAY())</f>
      </c>
      <c r="H9" s="74">
        <f>IF(C9="","",IF(F9="Yes","Paid",IF(G9&lt;0,"OVERDUE",IF(G9&lt;=30,"Due soon","Upcoming"))))</f>
      </c>
      <c r="I9" s="1">
        <f>IF(OR(B9="",B9=0,F9="Yes"),"",DATE(YEAR(B9),MONTH(B9),1))</f>
      </c>
      <c r="J9" s="1">
        <f>IF(OR(C9="",F9="Yes"),"",B9+ROW()/100000)</f>
      </c>
      <c r="K9" s="1"/>
      <c r="L9" s="1"/>
      <c r="M9" s="1"/>
      <c r="N9" s="1"/>
    </row>
    <row r="10" ht="19" customHeight="1" spans="1:14" x14ac:dyDescent="0.25">
      <c r="A10" s="1"/>
      <c r="B10" s="71">
        <f>IF('Vendors &amp; Real Cost'!B8="","",'Vendors &amp; Real Cost'!O8)</f>
      </c>
      <c r="C10" s="67">
        <f>IF('Vendors &amp; Real Cost'!B8="","",'Vendors &amp; Real Cost'!B8)</f>
      </c>
      <c r="D10" s="67" t="s">
        <v>86</v>
      </c>
      <c r="E10" s="59">
        <f>IF('Vendors &amp; Real Cost'!B8="","",'Vendors &amp; Real Cost'!N8)</f>
      </c>
      <c r="F10" s="72">
        <f>IF(C10="","",IF('Vendors &amp; Real Cost'!R8="Yes","Yes",IF(B10&lt;TODAY(),"Yes","No")))</f>
      </c>
      <c r="G10" s="72">
        <f>IF(OR(B10="",B10=0),"",B10-TODAY())</f>
      </c>
      <c r="H10" s="72">
        <f>IF(C10="","",IF(F10="Yes","Paid",IF(G10&lt;0,"OVERDUE",IF(G10&lt;=30,"Due soon","Upcoming"))))</f>
      </c>
      <c r="I10" s="1">
        <f>IF(OR(B10="",B10=0,F10="Yes"),"",DATE(YEAR(B10),MONTH(B10),1))</f>
      </c>
      <c r="J10" s="1">
        <f>IF(OR(C10="",F10="Yes"),"",B10+ROW()/100000)</f>
      </c>
      <c r="K10" s="1"/>
      <c r="L10" s="1"/>
      <c r="M10" s="1"/>
      <c r="N10" s="1"/>
    </row>
    <row r="11" ht="19" customHeight="1" spans="1:14" x14ac:dyDescent="0.25">
      <c r="A11" s="1"/>
      <c r="B11" s="73">
        <f>IF('Vendors &amp; Real Cost'!B8="","",'Vendors &amp; Real Cost'!Q8)</f>
      </c>
      <c r="C11" s="69">
        <f>IF('Vendors &amp; Real Cost'!B8="","",'Vendors &amp; Real Cost'!B8)</f>
      </c>
      <c r="D11" s="69" t="s">
        <v>88</v>
      </c>
      <c r="E11" s="61">
        <f>IF('Vendors &amp; Real Cost'!B8="","",'Vendors &amp; Real Cost'!P8)</f>
      </c>
      <c r="F11" s="74">
        <f>IF(C11="","",IF('Vendors &amp; Real Cost'!R8="Yes","Yes","No"))</f>
      </c>
      <c r="G11" s="74">
        <f>IF(OR(B11="",B11=0),"",B11-TODAY())</f>
      </c>
      <c r="H11" s="74">
        <f>IF(C11="","",IF(F11="Yes","Paid",IF(G11&lt;0,"OVERDUE",IF(G11&lt;=30,"Due soon","Upcoming"))))</f>
      </c>
      <c r="I11" s="1">
        <f>IF(OR(B11="",B11=0,F11="Yes"),"",DATE(YEAR(B11),MONTH(B11),1))</f>
      </c>
      <c r="J11" s="1">
        <f>IF(OR(C11="",F11="Yes"),"",B11+ROW()/100000)</f>
      </c>
      <c r="K11" s="1"/>
      <c r="L11" s="1"/>
      <c r="M11" s="1"/>
      <c r="N11" s="1"/>
    </row>
    <row r="12" ht="19" customHeight="1" spans="1:14" x14ac:dyDescent="0.25">
      <c r="A12" s="1"/>
      <c r="B12" s="71">
        <f>IF('Vendors &amp; Real Cost'!B9="","",'Vendors &amp; Real Cost'!O9)</f>
      </c>
      <c r="C12" s="67">
        <f>IF('Vendors &amp; Real Cost'!B9="","",'Vendors &amp; Real Cost'!B9)</f>
      </c>
      <c r="D12" s="67" t="s">
        <v>86</v>
      </c>
      <c r="E12" s="59">
        <f>IF('Vendors &amp; Real Cost'!B9="","",'Vendors &amp; Real Cost'!N9)</f>
      </c>
      <c r="F12" s="72">
        <f>IF(C12="","",IF('Vendors &amp; Real Cost'!R9="Yes","Yes",IF(B12&lt;TODAY(),"Yes","No")))</f>
      </c>
      <c r="G12" s="72">
        <f>IF(OR(B12="",B12=0),"",B12-TODAY())</f>
      </c>
      <c r="H12" s="72">
        <f>IF(C12="","",IF(F12="Yes","Paid",IF(G12&lt;0,"OVERDUE",IF(G12&lt;=30,"Due soon","Upcoming"))))</f>
      </c>
      <c r="I12" s="1">
        <f>IF(OR(B12="",B12=0,F12="Yes"),"",DATE(YEAR(B12),MONTH(B12),1))</f>
      </c>
      <c r="J12" s="1">
        <f>IF(OR(C12="",F12="Yes"),"",B12+ROW()/100000)</f>
      </c>
      <c r="K12" s="1"/>
      <c r="L12" s="1"/>
      <c r="M12" s="1"/>
      <c r="N12" s="1"/>
    </row>
    <row r="13" ht="19" customHeight="1" spans="1:14" x14ac:dyDescent="0.25">
      <c r="A13" s="1"/>
      <c r="B13" s="73">
        <f>IF('Vendors &amp; Real Cost'!B9="","",'Vendors &amp; Real Cost'!Q9)</f>
      </c>
      <c r="C13" s="69">
        <f>IF('Vendors &amp; Real Cost'!B9="","",'Vendors &amp; Real Cost'!B9)</f>
      </c>
      <c r="D13" s="69" t="s">
        <v>88</v>
      </c>
      <c r="E13" s="61">
        <f>IF('Vendors &amp; Real Cost'!B9="","",'Vendors &amp; Real Cost'!P9)</f>
      </c>
      <c r="F13" s="74">
        <f>IF(C13="","",IF('Vendors &amp; Real Cost'!R9="Yes","Yes","No"))</f>
      </c>
      <c r="G13" s="74">
        <f>IF(OR(B13="",B13=0),"",B13-TODAY())</f>
      </c>
      <c r="H13" s="74">
        <f>IF(C13="","",IF(F13="Yes","Paid",IF(G13&lt;0,"OVERDUE",IF(G13&lt;=30,"Due soon","Upcoming"))))</f>
      </c>
      <c r="I13" s="1">
        <f>IF(OR(B13="",B13=0,F13="Yes"),"",DATE(YEAR(B13),MONTH(B13),1))</f>
      </c>
      <c r="J13" s="1">
        <f>IF(OR(C13="",F13="Yes"),"",B13+ROW()/100000)</f>
      </c>
      <c r="K13" s="1"/>
      <c r="L13" s="1"/>
      <c r="M13" s="1"/>
      <c r="N13" s="1"/>
    </row>
    <row r="14" ht="19" customHeight="1" spans="1:14" x14ac:dyDescent="0.25">
      <c r="A14" s="1"/>
      <c r="B14" s="71">
        <f>IF('Vendors &amp; Real Cost'!B10="","",'Vendors &amp; Real Cost'!O10)</f>
      </c>
      <c r="C14" s="67">
        <f>IF('Vendors &amp; Real Cost'!B10="","",'Vendors &amp; Real Cost'!B10)</f>
      </c>
      <c r="D14" s="67" t="s">
        <v>86</v>
      </c>
      <c r="E14" s="59">
        <f>IF('Vendors &amp; Real Cost'!B10="","",'Vendors &amp; Real Cost'!N10)</f>
      </c>
      <c r="F14" s="72">
        <f>IF(C14="","",IF('Vendors &amp; Real Cost'!R10="Yes","Yes",IF(B14&lt;TODAY(),"Yes","No")))</f>
      </c>
      <c r="G14" s="72">
        <f>IF(OR(B14="",B14=0),"",B14-TODAY())</f>
      </c>
      <c r="H14" s="72">
        <f>IF(C14="","",IF(F14="Yes","Paid",IF(G14&lt;0,"OVERDUE",IF(G14&lt;=30,"Due soon","Upcoming"))))</f>
      </c>
      <c r="I14" s="1">
        <f>IF(OR(B14="",B14=0,F14="Yes"),"",DATE(YEAR(B14),MONTH(B14),1))</f>
      </c>
      <c r="J14" s="1">
        <f>IF(OR(C14="",F14="Yes"),"",B14+ROW()/100000)</f>
      </c>
      <c r="K14" s="1"/>
      <c r="L14" s="1"/>
      <c r="M14" s="1"/>
      <c r="N14" s="1"/>
    </row>
    <row r="15" ht="19" customHeight="1" spans="1:14" x14ac:dyDescent="0.25">
      <c r="A15" s="1"/>
      <c r="B15" s="73">
        <f>IF('Vendors &amp; Real Cost'!B10="","",'Vendors &amp; Real Cost'!Q10)</f>
      </c>
      <c r="C15" s="69">
        <f>IF('Vendors &amp; Real Cost'!B10="","",'Vendors &amp; Real Cost'!B10)</f>
      </c>
      <c r="D15" s="69" t="s">
        <v>88</v>
      </c>
      <c r="E15" s="61">
        <f>IF('Vendors &amp; Real Cost'!B10="","",'Vendors &amp; Real Cost'!P10)</f>
      </c>
      <c r="F15" s="74">
        <f>IF(C15="","",IF('Vendors &amp; Real Cost'!R10="Yes","Yes","No"))</f>
      </c>
      <c r="G15" s="74">
        <f>IF(OR(B15="",B15=0),"",B15-TODAY())</f>
      </c>
      <c r="H15" s="74">
        <f>IF(C15="","",IF(F15="Yes","Paid",IF(G15&lt;0,"OVERDUE",IF(G15&lt;=30,"Due soon","Upcoming"))))</f>
      </c>
      <c r="I15" s="1">
        <f>IF(OR(B15="",B15=0,F15="Yes"),"",DATE(YEAR(B15),MONTH(B15),1))</f>
      </c>
      <c r="J15" s="1">
        <f>IF(OR(C15="",F15="Yes"),"",B15+ROW()/100000)</f>
      </c>
      <c r="K15" s="1"/>
      <c r="L15" s="1"/>
      <c r="M15" s="1"/>
      <c r="N15" s="1"/>
    </row>
    <row r="16" ht="19" customHeight="1" spans="1:14" x14ac:dyDescent="0.25">
      <c r="A16" s="1"/>
      <c r="B16" s="71">
        <f>IF('Vendors &amp; Real Cost'!B11="","",'Vendors &amp; Real Cost'!O11)</f>
      </c>
      <c r="C16" s="67">
        <f>IF('Vendors &amp; Real Cost'!B11="","",'Vendors &amp; Real Cost'!B11)</f>
      </c>
      <c r="D16" s="67" t="s">
        <v>86</v>
      </c>
      <c r="E16" s="59">
        <f>IF('Vendors &amp; Real Cost'!B11="","",'Vendors &amp; Real Cost'!N11)</f>
      </c>
      <c r="F16" s="72">
        <f>IF(C16="","",IF('Vendors &amp; Real Cost'!R11="Yes","Yes",IF(B16&lt;TODAY(),"Yes","No")))</f>
      </c>
      <c r="G16" s="72">
        <f>IF(OR(B16="",B16=0),"",B16-TODAY())</f>
      </c>
      <c r="H16" s="72">
        <f>IF(C16="","",IF(F16="Yes","Paid",IF(G16&lt;0,"OVERDUE",IF(G16&lt;=30,"Due soon","Upcoming"))))</f>
      </c>
      <c r="I16" s="1">
        <f>IF(OR(B16="",B16=0,F16="Yes"),"",DATE(YEAR(B16),MONTH(B16),1))</f>
      </c>
      <c r="J16" s="1">
        <f>IF(OR(C16="",F16="Yes"),"",B16+ROW()/100000)</f>
      </c>
      <c r="K16" s="1"/>
      <c r="L16" s="1"/>
      <c r="M16" s="1"/>
      <c r="N16" s="1"/>
    </row>
    <row r="17" ht="19" customHeight="1" spans="1:14" x14ac:dyDescent="0.25">
      <c r="A17" s="1"/>
      <c r="B17" s="73">
        <f>IF('Vendors &amp; Real Cost'!B11="","",'Vendors &amp; Real Cost'!Q11)</f>
      </c>
      <c r="C17" s="69">
        <f>IF('Vendors &amp; Real Cost'!B11="","",'Vendors &amp; Real Cost'!B11)</f>
      </c>
      <c r="D17" s="69" t="s">
        <v>88</v>
      </c>
      <c r="E17" s="61">
        <f>IF('Vendors &amp; Real Cost'!B11="","",'Vendors &amp; Real Cost'!P11)</f>
      </c>
      <c r="F17" s="74">
        <f>IF(C17="","",IF('Vendors &amp; Real Cost'!R11="Yes","Yes","No"))</f>
      </c>
      <c r="G17" s="74">
        <f>IF(OR(B17="",B17=0),"",B17-TODAY())</f>
      </c>
      <c r="H17" s="74">
        <f>IF(C17="","",IF(F17="Yes","Paid",IF(G17&lt;0,"OVERDUE",IF(G17&lt;=30,"Due soon","Upcoming"))))</f>
      </c>
      <c r="I17" s="1">
        <f>IF(OR(B17="",B17=0,F17="Yes"),"",DATE(YEAR(B17),MONTH(B17),1))</f>
      </c>
      <c r="J17" s="1">
        <f>IF(OR(C17="",F17="Yes"),"",B17+ROW()/100000)</f>
      </c>
      <c r="K17" s="1"/>
      <c r="L17" s="1"/>
      <c r="M17" s="1"/>
      <c r="N17" s="1"/>
    </row>
    <row r="18" ht="19" customHeight="1" spans="1:14" x14ac:dyDescent="0.25">
      <c r="A18" s="1"/>
      <c r="B18" s="71">
        <f>IF('Vendors &amp; Real Cost'!B12="","",'Vendors &amp; Real Cost'!O12)</f>
      </c>
      <c r="C18" s="67">
        <f>IF('Vendors &amp; Real Cost'!B12="","",'Vendors &amp; Real Cost'!B12)</f>
      </c>
      <c r="D18" s="67" t="s">
        <v>86</v>
      </c>
      <c r="E18" s="59">
        <f>IF('Vendors &amp; Real Cost'!B12="","",'Vendors &amp; Real Cost'!N12)</f>
      </c>
      <c r="F18" s="72">
        <f>IF(C18="","",IF('Vendors &amp; Real Cost'!R12="Yes","Yes",IF(B18&lt;TODAY(),"Yes","No")))</f>
      </c>
      <c r="G18" s="72">
        <f>IF(OR(B18="",B18=0),"",B18-TODAY())</f>
      </c>
      <c r="H18" s="72">
        <f>IF(C18="","",IF(F18="Yes","Paid",IF(G18&lt;0,"OVERDUE",IF(G18&lt;=30,"Due soon","Upcoming"))))</f>
      </c>
      <c r="I18" s="1">
        <f>IF(OR(B18="",B18=0,F18="Yes"),"",DATE(YEAR(B18),MONTH(B18),1))</f>
      </c>
      <c r="J18" s="1">
        <f>IF(OR(C18="",F18="Yes"),"",B18+ROW()/100000)</f>
      </c>
      <c r="K18" s="1"/>
      <c r="L18" s="1"/>
      <c r="M18" s="1"/>
      <c r="N18" s="1"/>
    </row>
    <row r="19" ht="19" customHeight="1" spans="1:14" x14ac:dyDescent="0.25">
      <c r="A19" s="1"/>
      <c r="B19" s="73">
        <f>IF('Vendors &amp; Real Cost'!B12="","",'Vendors &amp; Real Cost'!Q12)</f>
      </c>
      <c r="C19" s="69">
        <f>IF('Vendors &amp; Real Cost'!B12="","",'Vendors &amp; Real Cost'!B12)</f>
      </c>
      <c r="D19" s="69" t="s">
        <v>88</v>
      </c>
      <c r="E19" s="61">
        <f>IF('Vendors &amp; Real Cost'!B12="","",'Vendors &amp; Real Cost'!P12)</f>
      </c>
      <c r="F19" s="74">
        <f>IF(C19="","",IF('Vendors &amp; Real Cost'!R12="Yes","Yes","No"))</f>
      </c>
      <c r="G19" s="74">
        <f>IF(OR(B19="",B19=0),"",B19-TODAY())</f>
      </c>
      <c r="H19" s="74">
        <f>IF(C19="","",IF(F19="Yes","Paid",IF(G19&lt;0,"OVERDUE",IF(G19&lt;=30,"Due soon","Upcoming"))))</f>
      </c>
      <c r="I19" s="1">
        <f>IF(OR(B19="",B19=0,F19="Yes"),"",DATE(YEAR(B19),MONTH(B19),1))</f>
      </c>
      <c r="J19" s="1">
        <f>IF(OR(C19="",F19="Yes"),"",B19+ROW()/100000)</f>
      </c>
      <c r="K19" s="1"/>
      <c r="L19" s="1"/>
      <c r="M19" s="1"/>
      <c r="N19" s="1"/>
    </row>
    <row r="20" ht="19" customHeight="1" spans="1:14" x14ac:dyDescent="0.25">
      <c r="A20" s="1"/>
      <c r="B20" s="71">
        <f>IF('Vendors &amp; Real Cost'!B13="","",'Vendors &amp; Real Cost'!O13)</f>
      </c>
      <c r="C20" s="67">
        <f>IF('Vendors &amp; Real Cost'!B13="","",'Vendors &amp; Real Cost'!B13)</f>
      </c>
      <c r="D20" s="67" t="s">
        <v>86</v>
      </c>
      <c r="E20" s="59">
        <f>IF('Vendors &amp; Real Cost'!B13="","",'Vendors &amp; Real Cost'!N13)</f>
      </c>
      <c r="F20" s="72">
        <f>IF(C20="","",IF('Vendors &amp; Real Cost'!R13="Yes","Yes",IF(B20&lt;TODAY(),"Yes","No")))</f>
      </c>
      <c r="G20" s="72">
        <f>IF(OR(B20="",B20=0),"",B20-TODAY())</f>
      </c>
      <c r="H20" s="72">
        <f>IF(C20="","",IF(F20="Yes","Paid",IF(G20&lt;0,"OVERDUE",IF(G20&lt;=30,"Due soon","Upcoming"))))</f>
      </c>
      <c r="I20" s="1">
        <f>IF(OR(B20="",B20=0,F20="Yes"),"",DATE(YEAR(B20),MONTH(B20),1))</f>
      </c>
      <c r="J20" s="1">
        <f>IF(OR(C20="",F20="Yes"),"",B20+ROW()/100000)</f>
      </c>
      <c r="K20" s="1"/>
      <c r="L20" s="1"/>
      <c r="M20" s="1"/>
      <c r="N20" s="1"/>
    </row>
    <row r="21" ht="19" customHeight="1" spans="1:14" x14ac:dyDescent="0.25">
      <c r="A21" s="1"/>
      <c r="B21" s="73">
        <f>IF('Vendors &amp; Real Cost'!B13="","",'Vendors &amp; Real Cost'!Q13)</f>
      </c>
      <c r="C21" s="69">
        <f>IF('Vendors &amp; Real Cost'!B13="","",'Vendors &amp; Real Cost'!B13)</f>
      </c>
      <c r="D21" s="69" t="s">
        <v>88</v>
      </c>
      <c r="E21" s="61">
        <f>IF('Vendors &amp; Real Cost'!B13="","",'Vendors &amp; Real Cost'!P13)</f>
      </c>
      <c r="F21" s="74">
        <f>IF(C21="","",IF('Vendors &amp; Real Cost'!R13="Yes","Yes","No"))</f>
      </c>
      <c r="G21" s="74">
        <f>IF(OR(B21="",B21=0),"",B21-TODAY())</f>
      </c>
      <c r="H21" s="74">
        <f>IF(C21="","",IF(F21="Yes","Paid",IF(G21&lt;0,"OVERDUE",IF(G21&lt;=30,"Due soon","Upcoming"))))</f>
      </c>
      <c r="I21" s="1">
        <f>IF(OR(B21="",B21=0,F21="Yes"),"",DATE(YEAR(B21),MONTH(B21),1))</f>
      </c>
      <c r="J21" s="1">
        <f>IF(OR(C21="",F21="Yes"),"",B21+ROW()/100000)</f>
      </c>
      <c r="K21" s="1"/>
      <c r="L21" s="1"/>
      <c r="M21" s="1"/>
      <c r="N21" s="1"/>
    </row>
    <row r="22" ht="19" customHeight="1" spans="1:14" x14ac:dyDescent="0.25">
      <c r="A22" s="1"/>
      <c r="B22" s="71">
        <f>IF('Vendors &amp; Real Cost'!B14="","",'Vendors &amp; Real Cost'!O14)</f>
      </c>
      <c r="C22" s="67">
        <f>IF('Vendors &amp; Real Cost'!B14="","",'Vendors &amp; Real Cost'!B14)</f>
      </c>
      <c r="D22" s="67" t="s">
        <v>86</v>
      </c>
      <c r="E22" s="59">
        <f>IF('Vendors &amp; Real Cost'!B14="","",'Vendors &amp; Real Cost'!N14)</f>
      </c>
      <c r="F22" s="72">
        <f>IF(C22="","",IF('Vendors &amp; Real Cost'!R14="Yes","Yes",IF(B22&lt;TODAY(),"Yes","No")))</f>
      </c>
      <c r="G22" s="72">
        <f>IF(OR(B22="",B22=0),"",B22-TODAY())</f>
      </c>
      <c r="H22" s="72">
        <f>IF(C22="","",IF(F22="Yes","Paid",IF(G22&lt;0,"OVERDUE",IF(G22&lt;=30,"Due soon","Upcoming"))))</f>
      </c>
      <c r="I22" s="1">
        <f>IF(OR(B22="",B22=0,F22="Yes"),"",DATE(YEAR(B22),MONTH(B22),1))</f>
      </c>
      <c r="J22" s="1">
        <f>IF(OR(C22="",F22="Yes"),"",B22+ROW()/100000)</f>
      </c>
      <c r="K22" s="1"/>
      <c r="L22" s="1"/>
      <c r="M22" s="1"/>
      <c r="N22" s="1"/>
    </row>
    <row r="23" ht="19" customHeight="1" spans="1:14" x14ac:dyDescent="0.25">
      <c r="A23" s="1"/>
      <c r="B23" s="73">
        <f>IF('Vendors &amp; Real Cost'!B14="","",'Vendors &amp; Real Cost'!Q14)</f>
      </c>
      <c r="C23" s="69">
        <f>IF('Vendors &amp; Real Cost'!B14="","",'Vendors &amp; Real Cost'!B14)</f>
      </c>
      <c r="D23" s="69" t="s">
        <v>88</v>
      </c>
      <c r="E23" s="61">
        <f>IF('Vendors &amp; Real Cost'!B14="","",'Vendors &amp; Real Cost'!P14)</f>
      </c>
      <c r="F23" s="74">
        <f>IF(C23="","",IF('Vendors &amp; Real Cost'!R14="Yes","Yes","No"))</f>
      </c>
      <c r="G23" s="74">
        <f>IF(OR(B23="",B23=0),"",B23-TODAY())</f>
      </c>
      <c r="H23" s="74">
        <f>IF(C23="","",IF(F23="Yes","Paid",IF(G23&lt;0,"OVERDUE",IF(G23&lt;=30,"Due soon","Upcoming"))))</f>
      </c>
      <c r="I23" s="1">
        <f>IF(OR(B23="",B23=0,F23="Yes"),"",DATE(YEAR(B23),MONTH(B23),1))</f>
      </c>
      <c r="J23" s="1">
        <f>IF(OR(C23="",F23="Yes"),"",B23+ROW()/100000)</f>
      </c>
      <c r="K23" s="1"/>
      <c r="L23" s="1"/>
      <c r="M23" s="1"/>
      <c r="N23" s="1"/>
    </row>
    <row r="24" ht="19" customHeight="1" spans="1:14" x14ac:dyDescent="0.25">
      <c r="A24" s="1"/>
      <c r="B24" s="71">
        <f>IF('Vendors &amp; Real Cost'!B15="","",'Vendors &amp; Real Cost'!O15)</f>
      </c>
      <c r="C24" s="67">
        <f>IF('Vendors &amp; Real Cost'!B15="","",'Vendors &amp; Real Cost'!B15)</f>
      </c>
      <c r="D24" s="67" t="s">
        <v>86</v>
      </c>
      <c r="E24" s="59">
        <f>IF('Vendors &amp; Real Cost'!B15="","",'Vendors &amp; Real Cost'!N15)</f>
      </c>
      <c r="F24" s="72">
        <f>IF(C24="","",IF('Vendors &amp; Real Cost'!R15="Yes","Yes",IF(B24&lt;TODAY(),"Yes","No")))</f>
      </c>
      <c r="G24" s="72">
        <f>IF(OR(B24="",B24=0),"",B24-TODAY())</f>
      </c>
      <c r="H24" s="72">
        <f>IF(C24="","",IF(F24="Yes","Paid",IF(G24&lt;0,"OVERDUE",IF(G24&lt;=30,"Due soon","Upcoming"))))</f>
      </c>
      <c r="I24" s="1">
        <f>IF(OR(B24="",B24=0,F24="Yes"),"",DATE(YEAR(B24),MONTH(B24),1))</f>
      </c>
      <c r="J24" s="1">
        <f>IF(OR(C24="",F24="Yes"),"",B24+ROW()/100000)</f>
      </c>
      <c r="K24" s="1"/>
      <c r="L24" s="1"/>
      <c r="M24" s="1"/>
      <c r="N24" s="1"/>
    </row>
    <row r="25" ht="19" customHeight="1" spans="1:14" x14ac:dyDescent="0.25">
      <c r="A25" s="1"/>
      <c r="B25" s="73">
        <f>IF('Vendors &amp; Real Cost'!B15="","",'Vendors &amp; Real Cost'!Q15)</f>
      </c>
      <c r="C25" s="69">
        <f>IF('Vendors &amp; Real Cost'!B15="","",'Vendors &amp; Real Cost'!B15)</f>
      </c>
      <c r="D25" s="69" t="s">
        <v>88</v>
      </c>
      <c r="E25" s="61">
        <f>IF('Vendors &amp; Real Cost'!B15="","",'Vendors &amp; Real Cost'!P15)</f>
      </c>
      <c r="F25" s="74">
        <f>IF(C25="","",IF('Vendors &amp; Real Cost'!R15="Yes","Yes","No"))</f>
      </c>
      <c r="G25" s="74">
        <f>IF(OR(B25="",B25=0),"",B25-TODAY())</f>
      </c>
      <c r="H25" s="74">
        <f>IF(C25="","",IF(F25="Yes","Paid",IF(G25&lt;0,"OVERDUE",IF(G25&lt;=30,"Due soon","Upcoming"))))</f>
      </c>
      <c r="I25" s="1">
        <f>IF(OR(B25="",B25=0,F25="Yes"),"",DATE(YEAR(B25),MONTH(B25),1))</f>
      </c>
      <c r="J25" s="1">
        <f>IF(OR(C25="",F25="Yes"),"",B25+ROW()/100000)</f>
      </c>
      <c r="K25" s="1"/>
      <c r="L25" s="1"/>
      <c r="M25" s="1"/>
      <c r="N25" s="1"/>
    </row>
    <row r="26" ht="19" customHeight="1" spans="1:14" x14ac:dyDescent="0.25">
      <c r="A26" s="1"/>
      <c r="B26" s="71">
        <f>IF('Vendors &amp; Real Cost'!B16="","",'Vendors &amp; Real Cost'!O16)</f>
      </c>
      <c r="C26" s="67">
        <f>IF('Vendors &amp; Real Cost'!B16="","",'Vendors &amp; Real Cost'!B16)</f>
      </c>
      <c r="D26" s="67" t="s">
        <v>86</v>
      </c>
      <c r="E26" s="59">
        <f>IF('Vendors &amp; Real Cost'!B16="","",'Vendors &amp; Real Cost'!N16)</f>
      </c>
      <c r="F26" s="72">
        <f>IF(C26="","",IF('Vendors &amp; Real Cost'!R16="Yes","Yes",IF(B26&lt;TODAY(),"Yes","No")))</f>
      </c>
      <c r="G26" s="72">
        <f>IF(OR(B26="",B26=0),"",B26-TODAY())</f>
      </c>
      <c r="H26" s="72">
        <f>IF(C26="","",IF(F26="Yes","Paid",IF(G26&lt;0,"OVERDUE",IF(G26&lt;=30,"Due soon","Upcoming"))))</f>
      </c>
      <c r="I26" s="1">
        <f>IF(OR(B26="",B26=0,F26="Yes"),"",DATE(YEAR(B26),MONTH(B26),1))</f>
      </c>
      <c r="J26" s="1">
        <f>IF(OR(C26="",F26="Yes"),"",B26+ROW()/100000)</f>
      </c>
      <c r="K26" s="1"/>
      <c r="L26" s="1"/>
      <c r="M26" s="1"/>
      <c r="N26" s="1"/>
    </row>
    <row r="27" ht="19" customHeight="1" spans="1:14" x14ac:dyDescent="0.25">
      <c r="A27" s="1"/>
      <c r="B27" s="73">
        <f>IF('Vendors &amp; Real Cost'!B16="","",'Vendors &amp; Real Cost'!Q16)</f>
      </c>
      <c r="C27" s="69">
        <f>IF('Vendors &amp; Real Cost'!B16="","",'Vendors &amp; Real Cost'!B16)</f>
      </c>
      <c r="D27" s="69" t="s">
        <v>88</v>
      </c>
      <c r="E27" s="61">
        <f>IF('Vendors &amp; Real Cost'!B16="","",'Vendors &amp; Real Cost'!P16)</f>
      </c>
      <c r="F27" s="74">
        <f>IF(C27="","",IF('Vendors &amp; Real Cost'!R16="Yes","Yes","No"))</f>
      </c>
      <c r="G27" s="74">
        <f>IF(OR(B27="",B27=0),"",B27-TODAY())</f>
      </c>
      <c r="H27" s="74">
        <f>IF(C27="","",IF(F27="Yes","Paid",IF(G27&lt;0,"OVERDUE",IF(G27&lt;=30,"Due soon","Upcoming"))))</f>
      </c>
      <c r="I27" s="1">
        <f>IF(OR(B27="",B27=0,F27="Yes"),"",DATE(YEAR(B27),MONTH(B27),1))</f>
      </c>
      <c r="J27" s="1">
        <f>IF(OR(C27="",F27="Yes"),"",B27+ROW()/100000)</f>
      </c>
      <c r="K27" s="1"/>
      <c r="L27" s="1"/>
      <c r="M27" s="1"/>
      <c r="N27" s="1"/>
    </row>
    <row r="28" ht="19" customHeight="1" spans="1:14" x14ac:dyDescent="0.25">
      <c r="A28" s="1"/>
      <c r="B28" s="71">
        <f>IF('Vendors &amp; Real Cost'!B17="","",'Vendors &amp; Real Cost'!O17)</f>
      </c>
      <c r="C28" s="67">
        <f>IF('Vendors &amp; Real Cost'!B17="","",'Vendors &amp; Real Cost'!B17)</f>
      </c>
      <c r="D28" s="67" t="s">
        <v>86</v>
      </c>
      <c r="E28" s="59">
        <f>IF('Vendors &amp; Real Cost'!B17="","",'Vendors &amp; Real Cost'!N17)</f>
      </c>
      <c r="F28" s="72">
        <f>IF(C28="","",IF('Vendors &amp; Real Cost'!R17="Yes","Yes",IF(B28&lt;TODAY(),"Yes","No")))</f>
      </c>
      <c r="G28" s="72">
        <f>IF(OR(B28="",B28=0),"",B28-TODAY())</f>
      </c>
      <c r="H28" s="72">
        <f>IF(C28="","",IF(F28="Yes","Paid",IF(G28&lt;0,"OVERDUE",IF(G28&lt;=30,"Due soon","Upcoming"))))</f>
      </c>
      <c r="I28" s="1">
        <f>IF(OR(B28="",B28=0,F28="Yes"),"",DATE(YEAR(B28),MONTH(B28),1))</f>
      </c>
      <c r="J28" s="1">
        <f>IF(OR(C28="",F28="Yes"),"",B28+ROW()/100000)</f>
      </c>
      <c r="K28" s="1"/>
      <c r="L28" s="1"/>
      <c r="M28" s="1"/>
      <c r="N28" s="1"/>
    </row>
    <row r="29" ht="19" customHeight="1" spans="1:14" x14ac:dyDescent="0.25">
      <c r="A29" s="1"/>
      <c r="B29" s="73">
        <f>IF('Vendors &amp; Real Cost'!B17="","",'Vendors &amp; Real Cost'!Q17)</f>
      </c>
      <c r="C29" s="69">
        <f>IF('Vendors &amp; Real Cost'!B17="","",'Vendors &amp; Real Cost'!B17)</f>
      </c>
      <c r="D29" s="69" t="s">
        <v>88</v>
      </c>
      <c r="E29" s="61">
        <f>IF('Vendors &amp; Real Cost'!B17="","",'Vendors &amp; Real Cost'!P17)</f>
      </c>
      <c r="F29" s="74">
        <f>IF(C29="","",IF('Vendors &amp; Real Cost'!R17="Yes","Yes","No"))</f>
      </c>
      <c r="G29" s="74">
        <f>IF(OR(B29="",B29=0),"",B29-TODAY())</f>
      </c>
      <c r="H29" s="74">
        <f>IF(C29="","",IF(F29="Yes","Paid",IF(G29&lt;0,"OVERDUE",IF(G29&lt;=30,"Due soon","Upcoming"))))</f>
      </c>
      <c r="I29" s="1">
        <f>IF(OR(B29="",B29=0,F29="Yes"),"",DATE(YEAR(B29),MONTH(B29),1))</f>
      </c>
      <c r="J29" s="1">
        <f>IF(OR(C29="",F29="Yes"),"",B29+ROW()/100000)</f>
      </c>
      <c r="K29" s="1"/>
      <c r="L29" s="1"/>
      <c r="M29" s="1"/>
      <c r="N29" s="1"/>
    </row>
    <row r="30" ht="19" customHeight="1" spans="1:14" x14ac:dyDescent="0.25">
      <c r="A30" s="1"/>
      <c r="B30" s="71">
        <f>IF('Vendors &amp; Real Cost'!B18="","",'Vendors &amp; Real Cost'!O18)</f>
      </c>
      <c r="C30" s="67">
        <f>IF('Vendors &amp; Real Cost'!B18="","",'Vendors &amp; Real Cost'!B18)</f>
      </c>
      <c r="D30" s="67" t="s">
        <v>86</v>
      </c>
      <c r="E30" s="59">
        <f>IF('Vendors &amp; Real Cost'!B18="","",'Vendors &amp; Real Cost'!N18)</f>
      </c>
      <c r="F30" s="72">
        <f>IF(C30="","",IF('Vendors &amp; Real Cost'!R18="Yes","Yes",IF(B30&lt;TODAY(),"Yes","No")))</f>
      </c>
      <c r="G30" s="72">
        <f>IF(OR(B30="",B30=0),"",B30-TODAY())</f>
      </c>
      <c r="H30" s="72">
        <f>IF(C30="","",IF(F30="Yes","Paid",IF(G30&lt;0,"OVERDUE",IF(G30&lt;=30,"Due soon","Upcoming"))))</f>
      </c>
      <c r="I30" s="1">
        <f>IF(OR(B30="",B30=0,F30="Yes"),"",DATE(YEAR(B30),MONTH(B30),1))</f>
      </c>
      <c r="J30" s="1">
        <f>IF(OR(C30="",F30="Yes"),"",B30+ROW()/100000)</f>
      </c>
      <c r="K30" s="1"/>
      <c r="L30" s="1"/>
      <c r="M30" s="1"/>
      <c r="N30" s="1"/>
    </row>
    <row r="31" ht="19" customHeight="1" spans="1:14" x14ac:dyDescent="0.25">
      <c r="A31" s="1"/>
      <c r="B31" s="73">
        <f>IF('Vendors &amp; Real Cost'!B18="","",'Vendors &amp; Real Cost'!Q18)</f>
      </c>
      <c r="C31" s="69">
        <f>IF('Vendors &amp; Real Cost'!B18="","",'Vendors &amp; Real Cost'!B18)</f>
      </c>
      <c r="D31" s="69" t="s">
        <v>88</v>
      </c>
      <c r="E31" s="61">
        <f>IF('Vendors &amp; Real Cost'!B18="","",'Vendors &amp; Real Cost'!P18)</f>
      </c>
      <c r="F31" s="74">
        <f>IF(C31="","",IF('Vendors &amp; Real Cost'!R18="Yes","Yes","No"))</f>
      </c>
      <c r="G31" s="74">
        <f>IF(OR(B31="",B31=0),"",B31-TODAY())</f>
      </c>
      <c r="H31" s="74">
        <f>IF(C31="","",IF(F31="Yes","Paid",IF(G31&lt;0,"OVERDUE",IF(G31&lt;=30,"Due soon","Upcoming"))))</f>
      </c>
      <c r="I31" s="1">
        <f>IF(OR(B31="",B31=0,F31="Yes"),"",DATE(YEAR(B31),MONTH(B31),1))</f>
      </c>
      <c r="J31" s="1">
        <f>IF(OR(C31="",F31="Yes"),"",B31+ROW()/100000)</f>
      </c>
      <c r="K31" s="1"/>
      <c r="L31" s="1"/>
      <c r="M31" s="1"/>
      <c r="N31" s="1"/>
    </row>
    <row r="32" ht="19" customHeight="1" spans="1:14" x14ac:dyDescent="0.25">
      <c r="A32" s="1"/>
      <c r="B32" s="71">
        <f>IF('Vendors &amp; Real Cost'!B19="","",'Vendors &amp; Real Cost'!O19)</f>
      </c>
      <c r="C32" s="67">
        <f>IF('Vendors &amp; Real Cost'!B19="","",'Vendors &amp; Real Cost'!B19)</f>
      </c>
      <c r="D32" s="67" t="s">
        <v>86</v>
      </c>
      <c r="E32" s="59">
        <f>IF('Vendors &amp; Real Cost'!B19="","",'Vendors &amp; Real Cost'!N19)</f>
      </c>
      <c r="F32" s="72">
        <f>IF(C32="","",IF('Vendors &amp; Real Cost'!R19="Yes","Yes",IF(B32&lt;TODAY(),"Yes","No")))</f>
      </c>
      <c r="G32" s="72">
        <f>IF(OR(B32="",B32=0),"",B32-TODAY())</f>
      </c>
      <c r="H32" s="72">
        <f>IF(C32="","",IF(F32="Yes","Paid",IF(G32&lt;0,"OVERDUE",IF(G32&lt;=30,"Due soon","Upcoming"))))</f>
      </c>
      <c r="I32" s="1">
        <f>IF(OR(B32="",B32=0,F32="Yes"),"",DATE(YEAR(B32),MONTH(B32),1))</f>
      </c>
      <c r="J32" s="1">
        <f>IF(OR(C32="",F32="Yes"),"",B32+ROW()/100000)</f>
      </c>
      <c r="K32" s="1"/>
      <c r="L32" s="1"/>
      <c r="M32" s="1"/>
      <c r="N32" s="1"/>
    </row>
    <row r="33" ht="19" customHeight="1" spans="1:14" x14ac:dyDescent="0.25">
      <c r="A33" s="1"/>
      <c r="B33" s="73">
        <f>IF('Vendors &amp; Real Cost'!B19="","",'Vendors &amp; Real Cost'!Q19)</f>
      </c>
      <c r="C33" s="69">
        <f>IF('Vendors &amp; Real Cost'!B19="","",'Vendors &amp; Real Cost'!B19)</f>
      </c>
      <c r="D33" s="69" t="s">
        <v>88</v>
      </c>
      <c r="E33" s="61">
        <f>IF('Vendors &amp; Real Cost'!B19="","",'Vendors &amp; Real Cost'!P19)</f>
      </c>
      <c r="F33" s="74">
        <f>IF(C33="","",IF('Vendors &amp; Real Cost'!R19="Yes","Yes","No"))</f>
      </c>
      <c r="G33" s="74">
        <f>IF(OR(B33="",B33=0),"",B33-TODAY())</f>
      </c>
      <c r="H33" s="74">
        <f>IF(C33="","",IF(F33="Yes","Paid",IF(G33&lt;0,"OVERDUE",IF(G33&lt;=30,"Due soon","Upcoming"))))</f>
      </c>
      <c r="I33" s="1">
        <f>IF(OR(B33="",B33=0,F33="Yes"),"",DATE(YEAR(B33),MONTH(B33),1))</f>
      </c>
      <c r="J33" s="1">
        <f>IF(OR(C33="",F33="Yes"),"",B33+ROW()/100000)</f>
      </c>
      <c r="K33" s="1"/>
      <c r="L33" s="1"/>
      <c r="M33" s="1"/>
      <c r="N33" s="1"/>
    </row>
    <row r="34" ht="19" customHeight="1" spans="1:14" x14ac:dyDescent="0.25">
      <c r="A34" s="1"/>
      <c r="B34" s="71">
        <f>IF('Vendors &amp; Real Cost'!B20="","",'Vendors &amp; Real Cost'!O20)</f>
      </c>
      <c r="C34" s="67">
        <f>IF('Vendors &amp; Real Cost'!B20="","",'Vendors &amp; Real Cost'!B20)</f>
      </c>
      <c r="D34" s="67" t="s">
        <v>86</v>
      </c>
      <c r="E34" s="59">
        <f>IF('Vendors &amp; Real Cost'!B20="","",'Vendors &amp; Real Cost'!N20)</f>
      </c>
      <c r="F34" s="72">
        <f>IF(C34="","",IF('Vendors &amp; Real Cost'!R20="Yes","Yes",IF(B34&lt;TODAY(),"Yes","No")))</f>
      </c>
      <c r="G34" s="72">
        <f>IF(OR(B34="",B34=0),"",B34-TODAY())</f>
      </c>
      <c r="H34" s="72">
        <f>IF(C34="","",IF(F34="Yes","Paid",IF(G34&lt;0,"OVERDUE",IF(G34&lt;=30,"Due soon","Upcoming"))))</f>
      </c>
      <c r="I34" s="1">
        <f>IF(OR(B34="",B34=0,F34="Yes"),"",DATE(YEAR(B34),MONTH(B34),1))</f>
      </c>
      <c r="J34" s="1">
        <f>IF(OR(C34="",F34="Yes"),"",B34+ROW()/100000)</f>
      </c>
      <c r="K34" s="1"/>
      <c r="L34" s="1"/>
      <c r="M34" s="1"/>
      <c r="N34" s="1"/>
    </row>
    <row r="35" ht="19" customHeight="1" spans="1:14" x14ac:dyDescent="0.25">
      <c r="A35" s="1"/>
      <c r="B35" s="73">
        <f>IF('Vendors &amp; Real Cost'!B20="","",'Vendors &amp; Real Cost'!Q20)</f>
      </c>
      <c r="C35" s="69">
        <f>IF('Vendors &amp; Real Cost'!B20="","",'Vendors &amp; Real Cost'!B20)</f>
      </c>
      <c r="D35" s="69" t="s">
        <v>88</v>
      </c>
      <c r="E35" s="61">
        <f>IF('Vendors &amp; Real Cost'!B20="","",'Vendors &amp; Real Cost'!P20)</f>
      </c>
      <c r="F35" s="74">
        <f>IF(C35="","",IF('Vendors &amp; Real Cost'!R20="Yes","Yes","No"))</f>
      </c>
      <c r="G35" s="74">
        <f>IF(OR(B35="",B35=0),"",B35-TODAY())</f>
      </c>
      <c r="H35" s="74">
        <f>IF(C35="","",IF(F35="Yes","Paid",IF(G35&lt;0,"OVERDUE",IF(G35&lt;=30,"Due soon","Upcoming"))))</f>
      </c>
      <c r="I35" s="1">
        <f>IF(OR(B35="",B35=0,F35="Yes"),"",DATE(YEAR(B35),MONTH(B35),1))</f>
      </c>
      <c r="J35" s="1">
        <f>IF(OR(C35="",F35="Yes"),"",B35+ROW()/100000)</f>
      </c>
      <c r="K35" s="1"/>
      <c r="L35" s="1"/>
      <c r="M35" s="1"/>
      <c r="N35" s="1"/>
    </row>
    <row r="36" ht="19" customHeight="1" spans="1:14" x14ac:dyDescent="0.25">
      <c r="A36" s="1"/>
      <c r="B36" s="71">
        <f>IF('Vendors &amp; Real Cost'!B21="","",'Vendors &amp; Real Cost'!O21)</f>
      </c>
      <c r="C36" s="67">
        <f>IF('Vendors &amp; Real Cost'!B21="","",'Vendors &amp; Real Cost'!B21)</f>
      </c>
      <c r="D36" s="67" t="s">
        <v>86</v>
      </c>
      <c r="E36" s="59">
        <f>IF('Vendors &amp; Real Cost'!B21="","",'Vendors &amp; Real Cost'!N21)</f>
      </c>
      <c r="F36" s="72">
        <f>IF(C36="","",IF('Vendors &amp; Real Cost'!R21="Yes","Yes",IF(B36&lt;TODAY(),"Yes","No")))</f>
      </c>
      <c r="G36" s="72">
        <f>IF(OR(B36="",B36=0),"",B36-TODAY())</f>
      </c>
      <c r="H36" s="72">
        <f>IF(C36="","",IF(F36="Yes","Paid",IF(G36&lt;0,"OVERDUE",IF(G36&lt;=30,"Due soon","Upcoming"))))</f>
      </c>
      <c r="I36" s="1">
        <f>IF(OR(B36="",B36=0,F36="Yes"),"",DATE(YEAR(B36),MONTH(B36),1))</f>
      </c>
      <c r="J36" s="1">
        <f>IF(OR(C36="",F36="Yes"),"",B36+ROW()/100000)</f>
      </c>
      <c r="K36" s="1"/>
      <c r="L36" s="1"/>
      <c r="M36" s="1"/>
      <c r="N36" s="1"/>
    </row>
    <row r="37" ht="19" customHeight="1" spans="1:14" x14ac:dyDescent="0.25">
      <c r="A37" s="1"/>
      <c r="B37" s="73">
        <f>IF('Vendors &amp; Real Cost'!B21="","",'Vendors &amp; Real Cost'!Q21)</f>
      </c>
      <c r="C37" s="69">
        <f>IF('Vendors &amp; Real Cost'!B21="","",'Vendors &amp; Real Cost'!B21)</f>
      </c>
      <c r="D37" s="69" t="s">
        <v>88</v>
      </c>
      <c r="E37" s="61">
        <f>IF('Vendors &amp; Real Cost'!B21="","",'Vendors &amp; Real Cost'!P21)</f>
      </c>
      <c r="F37" s="74">
        <f>IF(C37="","",IF('Vendors &amp; Real Cost'!R21="Yes","Yes","No"))</f>
      </c>
      <c r="G37" s="74">
        <f>IF(OR(B37="",B37=0),"",B37-TODAY())</f>
      </c>
      <c r="H37" s="74">
        <f>IF(C37="","",IF(F37="Yes","Paid",IF(G37&lt;0,"OVERDUE",IF(G37&lt;=30,"Due soon","Upcoming"))))</f>
      </c>
      <c r="I37" s="1">
        <f>IF(OR(B37="",B37=0,F37="Yes"),"",DATE(YEAR(B37),MONTH(B37),1))</f>
      </c>
      <c r="J37" s="1">
        <f>IF(OR(C37="",F37="Yes"),"",B37+ROW()/100000)</f>
      </c>
      <c r="K37" s="1"/>
      <c r="L37" s="1"/>
      <c r="M37" s="1"/>
      <c r="N37" s="1"/>
    </row>
    <row r="38" ht="19" customHeight="1" spans="1:14" x14ac:dyDescent="0.25">
      <c r="A38" s="1"/>
      <c r="B38" s="71">
        <f>IF('Vendors &amp; Real Cost'!B22="","",'Vendors &amp; Real Cost'!O22)</f>
      </c>
      <c r="C38" s="67">
        <f>IF('Vendors &amp; Real Cost'!B22="","",'Vendors &amp; Real Cost'!B22)</f>
      </c>
      <c r="D38" s="67" t="s">
        <v>86</v>
      </c>
      <c r="E38" s="59">
        <f>IF('Vendors &amp; Real Cost'!B22="","",'Vendors &amp; Real Cost'!N22)</f>
      </c>
      <c r="F38" s="72">
        <f>IF(C38="","",IF('Vendors &amp; Real Cost'!R22="Yes","Yes",IF(B38&lt;TODAY(),"Yes","No")))</f>
      </c>
      <c r="G38" s="72">
        <f>IF(OR(B38="",B38=0),"",B38-TODAY())</f>
      </c>
      <c r="H38" s="72">
        <f>IF(C38="","",IF(F38="Yes","Paid",IF(G38&lt;0,"OVERDUE",IF(G38&lt;=30,"Due soon","Upcoming"))))</f>
      </c>
      <c r="I38" s="1">
        <f>IF(OR(B38="",B38=0,F38="Yes"),"",DATE(YEAR(B38),MONTH(B38),1))</f>
      </c>
      <c r="J38" s="1">
        <f>IF(OR(C38="",F38="Yes"),"",B38+ROW()/100000)</f>
      </c>
      <c r="K38" s="1"/>
      <c r="L38" s="1"/>
      <c r="M38" s="1"/>
      <c r="N38" s="1"/>
    </row>
    <row r="39" ht="19" customHeight="1" spans="1:14" x14ac:dyDescent="0.25">
      <c r="A39" s="1"/>
      <c r="B39" s="73">
        <f>IF('Vendors &amp; Real Cost'!B22="","",'Vendors &amp; Real Cost'!Q22)</f>
      </c>
      <c r="C39" s="69">
        <f>IF('Vendors &amp; Real Cost'!B22="","",'Vendors &amp; Real Cost'!B22)</f>
      </c>
      <c r="D39" s="69" t="s">
        <v>88</v>
      </c>
      <c r="E39" s="61">
        <f>IF('Vendors &amp; Real Cost'!B22="","",'Vendors &amp; Real Cost'!P22)</f>
      </c>
      <c r="F39" s="74">
        <f>IF(C39="","",IF('Vendors &amp; Real Cost'!R22="Yes","Yes","No"))</f>
      </c>
      <c r="G39" s="74">
        <f>IF(OR(B39="",B39=0),"",B39-TODAY())</f>
      </c>
      <c r="H39" s="74">
        <f>IF(C39="","",IF(F39="Yes","Paid",IF(G39&lt;0,"OVERDUE",IF(G39&lt;=30,"Due soon","Upcoming"))))</f>
      </c>
      <c r="I39" s="1">
        <f>IF(OR(B39="",B39=0,F39="Yes"),"",DATE(YEAR(B39),MONTH(B39),1))</f>
      </c>
      <c r="J39" s="1">
        <f>IF(OR(C39="",F39="Yes"),"",B39+ROW()/100000)</f>
      </c>
      <c r="K39" s="1"/>
      <c r="L39" s="1"/>
      <c r="M39" s="1"/>
      <c r="N39" s="1"/>
    </row>
    <row r="40" ht="19" customHeight="1" spans="1:14" x14ac:dyDescent="0.25">
      <c r="A40" s="1"/>
      <c r="B40" s="71">
        <f>IF('Vendors &amp; Real Cost'!B23="","",'Vendors &amp; Real Cost'!O23)</f>
      </c>
      <c r="C40" s="67">
        <f>IF('Vendors &amp; Real Cost'!B23="","",'Vendors &amp; Real Cost'!B23)</f>
      </c>
      <c r="D40" s="67" t="s">
        <v>86</v>
      </c>
      <c r="E40" s="59">
        <f>IF('Vendors &amp; Real Cost'!B23="","",'Vendors &amp; Real Cost'!N23)</f>
      </c>
      <c r="F40" s="72">
        <f>IF(C40="","",IF('Vendors &amp; Real Cost'!R23="Yes","Yes",IF(B40&lt;TODAY(),"Yes","No")))</f>
      </c>
      <c r="G40" s="72">
        <f>IF(OR(B40="",B40=0),"",B40-TODAY())</f>
      </c>
      <c r="H40" s="72">
        <f>IF(C40="","",IF(F40="Yes","Paid",IF(G40&lt;0,"OVERDUE",IF(G40&lt;=30,"Due soon","Upcoming"))))</f>
      </c>
      <c r="I40" s="1">
        <f>IF(OR(B40="",B40=0,F40="Yes"),"",DATE(YEAR(B40),MONTH(B40),1))</f>
      </c>
      <c r="J40" s="1">
        <f>IF(OR(C40="",F40="Yes"),"",B40+ROW()/100000)</f>
      </c>
      <c r="K40" s="1"/>
      <c r="L40" s="1"/>
      <c r="M40" s="1"/>
      <c r="N40" s="1"/>
    </row>
    <row r="41" ht="19" customHeight="1" spans="1:14" x14ac:dyDescent="0.25">
      <c r="A41" s="1"/>
      <c r="B41" s="73">
        <f>IF('Vendors &amp; Real Cost'!B23="","",'Vendors &amp; Real Cost'!Q23)</f>
      </c>
      <c r="C41" s="69">
        <f>IF('Vendors &amp; Real Cost'!B23="","",'Vendors &amp; Real Cost'!B23)</f>
      </c>
      <c r="D41" s="69" t="s">
        <v>88</v>
      </c>
      <c r="E41" s="61">
        <f>IF('Vendors &amp; Real Cost'!B23="","",'Vendors &amp; Real Cost'!P23)</f>
      </c>
      <c r="F41" s="74">
        <f>IF(C41="","",IF('Vendors &amp; Real Cost'!R23="Yes","Yes","No"))</f>
      </c>
      <c r="G41" s="74">
        <f>IF(OR(B41="",B41=0),"",B41-TODAY())</f>
      </c>
      <c r="H41" s="74">
        <f>IF(C41="","",IF(F41="Yes","Paid",IF(G41&lt;0,"OVERDUE",IF(G41&lt;=30,"Due soon","Upcoming"))))</f>
      </c>
      <c r="I41" s="1">
        <f>IF(OR(B41="",B41=0,F41="Yes"),"",DATE(YEAR(B41),MONTH(B41),1))</f>
      </c>
      <c r="J41" s="1">
        <f>IF(OR(C41="",F41="Yes"),"",B41+ROW()/100000)</f>
      </c>
      <c r="K41" s="1"/>
      <c r="L41" s="1"/>
      <c r="M41" s="1"/>
      <c r="N41" s="1"/>
    </row>
    <row r="42" ht="19" customHeight="1" spans="1:14" x14ac:dyDescent="0.25">
      <c r="A42" s="1"/>
      <c r="B42" s="71">
        <f>IF('Vendors &amp; Real Cost'!B24="","",'Vendors &amp; Real Cost'!O24)</f>
      </c>
      <c r="C42" s="67">
        <f>IF('Vendors &amp; Real Cost'!B24="","",'Vendors &amp; Real Cost'!B24)</f>
      </c>
      <c r="D42" s="67" t="s">
        <v>86</v>
      </c>
      <c r="E42" s="59">
        <f>IF('Vendors &amp; Real Cost'!B24="","",'Vendors &amp; Real Cost'!N24)</f>
      </c>
      <c r="F42" s="72">
        <f>IF(C42="","",IF('Vendors &amp; Real Cost'!R24="Yes","Yes",IF(B42&lt;TODAY(),"Yes","No")))</f>
      </c>
      <c r="G42" s="72">
        <f>IF(OR(B42="",B42=0),"",B42-TODAY())</f>
      </c>
      <c r="H42" s="72">
        <f>IF(C42="","",IF(F42="Yes","Paid",IF(G42&lt;0,"OVERDUE",IF(G42&lt;=30,"Due soon","Upcoming"))))</f>
      </c>
      <c r="I42" s="1">
        <f>IF(OR(B42="",B42=0,F42="Yes"),"",DATE(YEAR(B42),MONTH(B42),1))</f>
      </c>
      <c r="J42" s="1">
        <f>IF(OR(C42="",F42="Yes"),"",B42+ROW()/100000)</f>
      </c>
      <c r="K42" s="1"/>
      <c r="L42" s="1"/>
      <c r="M42" s="1"/>
      <c r="N42" s="1"/>
    </row>
    <row r="43" ht="19" customHeight="1" spans="1:14" x14ac:dyDescent="0.25">
      <c r="A43" s="1"/>
      <c r="B43" s="73">
        <f>IF('Vendors &amp; Real Cost'!B24="","",'Vendors &amp; Real Cost'!Q24)</f>
      </c>
      <c r="C43" s="69">
        <f>IF('Vendors &amp; Real Cost'!B24="","",'Vendors &amp; Real Cost'!B24)</f>
      </c>
      <c r="D43" s="69" t="s">
        <v>88</v>
      </c>
      <c r="E43" s="61">
        <f>IF('Vendors &amp; Real Cost'!B24="","",'Vendors &amp; Real Cost'!P24)</f>
      </c>
      <c r="F43" s="74">
        <f>IF(C43="","",IF('Vendors &amp; Real Cost'!R24="Yes","Yes","No"))</f>
      </c>
      <c r="G43" s="74">
        <f>IF(OR(B43="",B43=0),"",B43-TODAY())</f>
      </c>
      <c r="H43" s="74">
        <f>IF(C43="","",IF(F43="Yes","Paid",IF(G43&lt;0,"OVERDUE",IF(G43&lt;=30,"Due soon","Upcoming"))))</f>
      </c>
      <c r="I43" s="1">
        <f>IF(OR(B43="",B43=0,F43="Yes"),"",DATE(YEAR(B43),MONTH(B43),1))</f>
      </c>
      <c r="J43" s="1">
        <f>IF(OR(C43="",F43="Yes"),"",B43+ROW()/100000)</f>
      </c>
      <c r="K43" s="1"/>
      <c r="L43" s="1"/>
      <c r="M43" s="1"/>
      <c r="N43" s="1"/>
    </row>
    <row r="44" ht="19" customHeight="1" spans="1:14" x14ac:dyDescent="0.25">
      <c r="A44" s="1"/>
      <c r="B44" s="71">
        <f>IF('Vendors &amp; Real Cost'!B25="","",'Vendors &amp; Real Cost'!O25)</f>
      </c>
      <c r="C44" s="67">
        <f>IF('Vendors &amp; Real Cost'!B25="","",'Vendors &amp; Real Cost'!B25)</f>
      </c>
      <c r="D44" s="67" t="s">
        <v>86</v>
      </c>
      <c r="E44" s="59">
        <f>IF('Vendors &amp; Real Cost'!B25="","",'Vendors &amp; Real Cost'!N25)</f>
      </c>
      <c r="F44" s="72">
        <f>IF(C44="","",IF('Vendors &amp; Real Cost'!R25="Yes","Yes",IF(B44&lt;TODAY(),"Yes","No")))</f>
      </c>
      <c r="G44" s="72">
        <f>IF(OR(B44="",B44=0),"",B44-TODAY())</f>
      </c>
      <c r="H44" s="72">
        <f>IF(C44="","",IF(F44="Yes","Paid",IF(G44&lt;0,"OVERDUE",IF(G44&lt;=30,"Due soon","Upcoming"))))</f>
      </c>
      <c r="I44" s="1">
        <f>IF(OR(B44="",B44=0,F44="Yes"),"",DATE(YEAR(B44),MONTH(B44),1))</f>
      </c>
      <c r="J44" s="1">
        <f>IF(OR(C44="",F44="Yes"),"",B44+ROW()/100000)</f>
      </c>
      <c r="K44" s="1"/>
      <c r="L44" s="1"/>
      <c r="M44" s="1"/>
      <c r="N44" s="1"/>
    </row>
    <row r="45" ht="19" customHeight="1" spans="1:14" x14ac:dyDescent="0.25">
      <c r="A45" s="1"/>
      <c r="B45" s="73">
        <f>IF('Vendors &amp; Real Cost'!B25="","",'Vendors &amp; Real Cost'!Q25)</f>
      </c>
      <c r="C45" s="69">
        <f>IF('Vendors &amp; Real Cost'!B25="","",'Vendors &amp; Real Cost'!B25)</f>
      </c>
      <c r="D45" s="69" t="s">
        <v>88</v>
      </c>
      <c r="E45" s="61">
        <f>IF('Vendors &amp; Real Cost'!B25="","",'Vendors &amp; Real Cost'!P25)</f>
      </c>
      <c r="F45" s="74">
        <f>IF(C45="","",IF('Vendors &amp; Real Cost'!R25="Yes","Yes","No"))</f>
      </c>
      <c r="G45" s="74">
        <f>IF(OR(B45="",B45=0),"",B45-TODAY())</f>
      </c>
      <c r="H45" s="74">
        <f>IF(C45="","",IF(F45="Yes","Paid",IF(G45&lt;0,"OVERDUE",IF(G45&lt;=30,"Due soon","Upcoming"))))</f>
      </c>
      <c r="I45" s="1">
        <f>IF(OR(B45="",B45=0,F45="Yes"),"",DATE(YEAR(B45),MONTH(B45),1))</f>
      </c>
      <c r="J45" s="1">
        <f>IF(OR(C45="",F45="Yes"),"",B45+ROW()/100000)</f>
      </c>
      <c r="K45" s="1"/>
      <c r="L45" s="1"/>
      <c r="M45" s="1"/>
      <c r="N45" s="1"/>
    </row>
    <row r="46" ht="19" customHeight="1" spans="1:14" x14ac:dyDescent="0.25">
      <c r="A46" s="1"/>
      <c r="B46" s="71">
        <f>IF('Vendors &amp; Real Cost'!B26="","",'Vendors &amp; Real Cost'!O26)</f>
      </c>
      <c r="C46" s="67">
        <f>IF('Vendors &amp; Real Cost'!B26="","",'Vendors &amp; Real Cost'!B26)</f>
      </c>
      <c r="D46" s="67" t="s">
        <v>86</v>
      </c>
      <c r="E46" s="59">
        <f>IF('Vendors &amp; Real Cost'!B26="","",'Vendors &amp; Real Cost'!N26)</f>
      </c>
      <c r="F46" s="72">
        <f>IF(C46="","",IF('Vendors &amp; Real Cost'!R26="Yes","Yes",IF(B46&lt;TODAY(),"Yes","No")))</f>
      </c>
      <c r="G46" s="72">
        <f>IF(OR(B46="",B46=0),"",B46-TODAY())</f>
      </c>
      <c r="H46" s="72">
        <f>IF(C46="","",IF(F46="Yes","Paid",IF(G46&lt;0,"OVERDUE",IF(G46&lt;=30,"Due soon","Upcoming"))))</f>
      </c>
      <c r="I46" s="1">
        <f>IF(OR(B46="",B46=0,F46="Yes"),"",DATE(YEAR(B46),MONTH(B46),1))</f>
      </c>
      <c r="J46" s="1">
        <f>IF(OR(C46="",F46="Yes"),"",B46+ROW()/100000)</f>
      </c>
      <c r="K46" s="1"/>
      <c r="L46" s="1"/>
      <c r="M46" s="1"/>
      <c r="N46" s="1"/>
    </row>
    <row r="47" ht="19" customHeight="1" spans="1:14" x14ac:dyDescent="0.25">
      <c r="A47" s="1"/>
      <c r="B47" s="73">
        <f>IF('Vendors &amp; Real Cost'!B26="","",'Vendors &amp; Real Cost'!Q26)</f>
      </c>
      <c r="C47" s="69">
        <f>IF('Vendors &amp; Real Cost'!B26="","",'Vendors &amp; Real Cost'!B26)</f>
      </c>
      <c r="D47" s="69" t="s">
        <v>88</v>
      </c>
      <c r="E47" s="61">
        <f>IF('Vendors &amp; Real Cost'!B26="","",'Vendors &amp; Real Cost'!P26)</f>
      </c>
      <c r="F47" s="74">
        <f>IF(C47="","",IF('Vendors &amp; Real Cost'!R26="Yes","Yes","No"))</f>
      </c>
      <c r="G47" s="74">
        <f>IF(OR(B47="",B47=0),"",B47-TODAY())</f>
      </c>
      <c r="H47" s="74">
        <f>IF(C47="","",IF(F47="Yes","Paid",IF(G47&lt;0,"OVERDUE",IF(G47&lt;=30,"Due soon","Upcoming"))))</f>
      </c>
      <c r="I47" s="1">
        <f>IF(OR(B47="",B47=0,F47="Yes"),"",DATE(YEAR(B47),MONTH(B47),1))</f>
      </c>
      <c r="J47" s="1">
        <f>IF(OR(C47="",F47="Yes"),"",B47+ROW()/100000)</f>
      </c>
      <c r="K47" s="1"/>
      <c r="L47" s="1"/>
      <c r="M47" s="1"/>
      <c r="N47" s="1"/>
    </row>
    <row r="48" ht="19" customHeight="1" spans="1:14" x14ac:dyDescent="0.25">
      <c r="A48" s="1"/>
      <c r="B48" s="71">
        <f>IF('Vendors &amp; Real Cost'!B27="","",'Vendors &amp; Real Cost'!O27)</f>
      </c>
      <c r="C48" s="67">
        <f>IF('Vendors &amp; Real Cost'!B27="","",'Vendors &amp; Real Cost'!B27)</f>
      </c>
      <c r="D48" s="67" t="s">
        <v>86</v>
      </c>
      <c r="E48" s="59">
        <f>IF('Vendors &amp; Real Cost'!B27="","",'Vendors &amp; Real Cost'!N27)</f>
      </c>
      <c r="F48" s="72">
        <f>IF(C48="","",IF('Vendors &amp; Real Cost'!R27="Yes","Yes",IF(B48&lt;TODAY(),"Yes","No")))</f>
      </c>
      <c r="G48" s="72">
        <f>IF(OR(B48="",B48=0),"",B48-TODAY())</f>
      </c>
      <c r="H48" s="72">
        <f>IF(C48="","",IF(F48="Yes","Paid",IF(G48&lt;0,"OVERDUE",IF(G48&lt;=30,"Due soon","Upcoming"))))</f>
      </c>
      <c r="I48" s="1">
        <f>IF(OR(B48="",B48=0,F48="Yes"),"",DATE(YEAR(B48),MONTH(B48),1))</f>
      </c>
      <c r="J48" s="1">
        <f>IF(OR(C48="",F48="Yes"),"",B48+ROW()/100000)</f>
      </c>
      <c r="K48" s="1"/>
      <c r="L48" s="1"/>
      <c r="M48" s="1"/>
      <c r="N48" s="1"/>
    </row>
    <row r="49" ht="19" customHeight="1" spans="1:14" x14ac:dyDescent="0.25">
      <c r="A49" s="1"/>
      <c r="B49" s="73">
        <f>IF('Vendors &amp; Real Cost'!B27="","",'Vendors &amp; Real Cost'!Q27)</f>
      </c>
      <c r="C49" s="69">
        <f>IF('Vendors &amp; Real Cost'!B27="","",'Vendors &amp; Real Cost'!B27)</f>
      </c>
      <c r="D49" s="69" t="s">
        <v>88</v>
      </c>
      <c r="E49" s="61">
        <f>IF('Vendors &amp; Real Cost'!B27="","",'Vendors &amp; Real Cost'!P27)</f>
      </c>
      <c r="F49" s="74">
        <f>IF(C49="","",IF('Vendors &amp; Real Cost'!R27="Yes","Yes","No"))</f>
      </c>
      <c r="G49" s="74">
        <f>IF(OR(B49="",B49=0),"",B49-TODAY())</f>
      </c>
      <c r="H49" s="74">
        <f>IF(C49="","",IF(F49="Yes","Paid",IF(G49&lt;0,"OVERDUE",IF(G49&lt;=30,"Due soon","Upcoming"))))</f>
      </c>
      <c r="I49" s="1">
        <f>IF(OR(B49="",B49=0,F49="Yes"),"",DATE(YEAR(B49),MONTH(B49),1))</f>
      </c>
      <c r="J49" s="1">
        <f>IF(OR(C49="",F49="Yes"),"",B49+ROW()/100000)</f>
      </c>
      <c r="K49" s="1"/>
      <c r="L49" s="1"/>
      <c r="M49" s="1"/>
      <c r="N49" s="1"/>
    </row>
    <row r="50" ht="19" customHeight="1" spans="1:14" x14ac:dyDescent="0.25">
      <c r="A50" s="1"/>
      <c r="B50" s="71">
        <f>IF('Vendors &amp; Real Cost'!B28="","",'Vendors &amp; Real Cost'!O28)</f>
      </c>
      <c r="C50" s="67">
        <f>IF('Vendors &amp; Real Cost'!B28="","",'Vendors &amp; Real Cost'!B28)</f>
      </c>
      <c r="D50" s="67" t="s">
        <v>86</v>
      </c>
      <c r="E50" s="59">
        <f>IF('Vendors &amp; Real Cost'!B28="","",'Vendors &amp; Real Cost'!N28)</f>
      </c>
      <c r="F50" s="72">
        <f>IF(C50="","",IF('Vendors &amp; Real Cost'!R28="Yes","Yes",IF(B50&lt;TODAY(),"Yes","No")))</f>
      </c>
      <c r="G50" s="72">
        <f>IF(OR(B50="",B50=0),"",B50-TODAY())</f>
      </c>
      <c r="H50" s="72">
        <f>IF(C50="","",IF(F50="Yes","Paid",IF(G50&lt;0,"OVERDUE",IF(G50&lt;=30,"Due soon","Upcoming"))))</f>
      </c>
      <c r="I50" s="1">
        <f>IF(OR(B50="",B50=0,F50="Yes"),"",DATE(YEAR(B50),MONTH(B50),1))</f>
      </c>
      <c r="J50" s="1">
        <f>IF(OR(C50="",F50="Yes"),"",B50+ROW()/100000)</f>
      </c>
      <c r="K50" s="1"/>
      <c r="L50" s="1"/>
      <c r="M50" s="1"/>
      <c r="N50" s="1"/>
    </row>
    <row r="51" ht="19" customHeight="1" spans="1:14" x14ac:dyDescent="0.25">
      <c r="A51" s="1"/>
      <c r="B51" s="73">
        <f>IF('Vendors &amp; Real Cost'!B28="","",'Vendors &amp; Real Cost'!Q28)</f>
      </c>
      <c r="C51" s="69">
        <f>IF('Vendors &amp; Real Cost'!B28="","",'Vendors &amp; Real Cost'!B28)</f>
      </c>
      <c r="D51" s="69" t="s">
        <v>88</v>
      </c>
      <c r="E51" s="61">
        <f>IF('Vendors &amp; Real Cost'!B28="","",'Vendors &amp; Real Cost'!P28)</f>
      </c>
      <c r="F51" s="74">
        <f>IF(C51="","",IF('Vendors &amp; Real Cost'!R28="Yes","Yes","No"))</f>
      </c>
      <c r="G51" s="74">
        <f>IF(OR(B51="",B51=0),"",B51-TODAY())</f>
      </c>
      <c r="H51" s="74">
        <f>IF(C51="","",IF(F51="Yes","Paid",IF(G51&lt;0,"OVERDUE",IF(G51&lt;=30,"Due soon","Upcoming"))))</f>
      </c>
      <c r="I51" s="1">
        <f>IF(OR(B51="",B51=0,F51="Yes"),"",DATE(YEAR(B51),MONTH(B51),1))</f>
      </c>
      <c r="J51" s="1">
        <f>IF(OR(C51="",F51="Yes"),"",B51+ROW()/100000)</f>
      </c>
      <c r="K51" s="1"/>
      <c r="L51" s="1"/>
      <c r="M51" s="1"/>
      <c r="N51" s="1"/>
    </row>
    <row r="52" ht="19" customHeight="1" spans="1:14" x14ac:dyDescent="0.25">
      <c r="A52" s="1"/>
      <c r="B52" s="71">
        <f>IF('Vendors &amp; Real Cost'!B29="","",'Vendors &amp; Real Cost'!O29)</f>
      </c>
      <c r="C52" s="67">
        <f>IF('Vendors &amp; Real Cost'!B29="","",'Vendors &amp; Real Cost'!B29)</f>
      </c>
      <c r="D52" s="67" t="s">
        <v>86</v>
      </c>
      <c r="E52" s="59">
        <f>IF('Vendors &amp; Real Cost'!B29="","",'Vendors &amp; Real Cost'!N29)</f>
      </c>
      <c r="F52" s="72">
        <f>IF(C52="","",IF('Vendors &amp; Real Cost'!R29="Yes","Yes",IF(B52&lt;TODAY(),"Yes","No")))</f>
      </c>
      <c r="G52" s="72">
        <f>IF(OR(B52="",B52=0),"",B52-TODAY())</f>
      </c>
      <c r="H52" s="72">
        <f>IF(C52="","",IF(F52="Yes","Paid",IF(G52&lt;0,"OVERDUE",IF(G52&lt;=30,"Due soon","Upcoming"))))</f>
      </c>
      <c r="I52" s="1">
        <f>IF(OR(B52="",B52=0,F52="Yes"),"",DATE(YEAR(B52),MONTH(B52),1))</f>
      </c>
      <c r="J52" s="1">
        <f>IF(OR(C52="",F52="Yes"),"",B52+ROW()/100000)</f>
      </c>
      <c r="K52" s="1"/>
      <c r="L52" s="1"/>
      <c r="M52" s="1"/>
      <c r="N52" s="1"/>
    </row>
    <row r="53" ht="19" customHeight="1" spans="1:14" x14ac:dyDescent="0.25">
      <c r="A53" s="1"/>
      <c r="B53" s="73">
        <f>IF('Vendors &amp; Real Cost'!B29="","",'Vendors &amp; Real Cost'!Q29)</f>
      </c>
      <c r="C53" s="69">
        <f>IF('Vendors &amp; Real Cost'!B29="","",'Vendors &amp; Real Cost'!B29)</f>
      </c>
      <c r="D53" s="69" t="s">
        <v>88</v>
      </c>
      <c r="E53" s="61">
        <f>IF('Vendors &amp; Real Cost'!B29="","",'Vendors &amp; Real Cost'!P29)</f>
      </c>
      <c r="F53" s="74">
        <f>IF(C53="","",IF('Vendors &amp; Real Cost'!R29="Yes","Yes","No"))</f>
      </c>
      <c r="G53" s="74">
        <f>IF(OR(B53="",B53=0),"",B53-TODAY())</f>
      </c>
      <c r="H53" s="74">
        <f>IF(C53="","",IF(F53="Yes","Paid",IF(G53&lt;0,"OVERDUE",IF(G53&lt;=30,"Due soon","Upcoming"))))</f>
      </c>
      <c r="I53" s="1">
        <f>IF(OR(B53="",B53=0,F53="Yes"),"",DATE(YEAR(B53),MONTH(B53),1))</f>
      </c>
      <c r="J53" s="1">
        <f>IF(OR(C53="",F53="Yes"),"",B53+ROW()/100000)</f>
      </c>
      <c r="K53" s="1"/>
      <c r="L53" s="1"/>
      <c r="M53" s="1"/>
      <c r="N53" s="1"/>
    </row>
    <row r="54" ht="19" customHeight="1" spans="1:14" x14ac:dyDescent="0.25">
      <c r="A54" s="1"/>
      <c r="B54" s="71">
        <f>IF('Vendors &amp; Real Cost'!B30="","",'Vendors &amp; Real Cost'!O30)</f>
      </c>
      <c r="C54" s="67">
        <f>IF('Vendors &amp; Real Cost'!B30="","",'Vendors &amp; Real Cost'!B30)</f>
      </c>
      <c r="D54" s="67" t="s">
        <v>86</v>
      </c>
      <c r="E54" s="59">
        <f>IF('Vendors &amp; Real Cost'!B30="","",'Vendors &amp; Real Cost'!N30)</f>
      </c>
      <c r="F54" s="72">
        <f>IF(C54="","",IF('Vendors &amp; Real Cost'!R30="Yes","Yes",IF(B54&lt;TODAY(),"Yes","No")))</f>
      </c>
      <c r="G54" s="72">
        <f>IF(OR(B54="",B54=0),"",B54-TODAY())</f>
      </c>
      <c r="H54" s="72">
        <f>IF(C54="","",IF(F54="Yes","Paid",IF(G54&lt;0,"OVERDUE",IF(G54&lt;=30,"Due soon","Upcoming"))))</f>
      </c>
      <c r="I54" s="1">
        <f>IF(OR(B54="",B54=0,F54="Yes"),"",DATE(YEAR(B54),MONTH(B54),1))</f>
      </c>
      <c r="J54" s="1">
        <f>IF(OR(C54="",F54="Yes"),"",B54+ROW()/100000)</f>
      </c>
      <c r="K54" s="1"/>
      <c r="L54" s="1"/>
      <c r="M54" s="1"/>
      <c r="N54" s="1"/>
    </row>
    <row r="55" ht="19" customHeight="1" spans="1:14" x14ac:dyDescent="0.25">
      <c r="A55" s="1"/>
      <c r="B55" s="73">
        <f>IF('Vendors &amp; Real Cost'!B30="","",'Vendors &amp; Real Cost'!Q30)</f>
      </c>
      <c r="C55" s="69">
        <f>IF('Vendors &amp; Real Cost'!B30="","",'Vendors &amp; Real Cost'!B30)</f>
      </c>
      <c r="D55" s="69" t="s">
        <v>88</v>
      </c>
      <c r="E55" s="61">
        <f>IF('Vendors &amp; Real Cost'!B30="","",'Vendors &amp; Real Cost'!P30)</f>
      </c>
      <c r="F55" s="74">
        <f>IF(C55="","",IF('Vendors &amp; Real Cost'!R30="Yes","Yes","No"))</f>
      </c>
      <c r="G55" s="74">
        <f>IF(OR(B55="",B55=0),"",B55-TODAY())</f>
      </c>
      <c r="H55" s="74">
        <f>IF(C55="","",IF(F55="Yes","Paid",IF(G55&lt;0,"OVERDUE",IF(G55&lt;=30,"Due soon","Upcoming"))))</f>
      </c>
      <c r="I55" s="1">
        <f>IF(OR(B55="",B55=0,F55="Yes"),"",DATE(YEAR(B55),MONTH(B55),1))</f>
      </c>
      <c r="J55" s="1">
        <f>IF(OR(C55="",F55="Yes"),"",B55+ROW()/100000)</f>
      </c>
      <c r="K55" s="1"/>
      <c r="L55" s="1"/>
      <c r="M55" s="1"/>
      <c r="N55" s="1"/>
    </row>
    <row r="56" ht="24" customHeight="1" spans="1:14" x14ac:dyDescent="0.25">
      <c r="A56" s="1"/>
      <c r="B56" s="62" t="s">
        <v>113</v>
      </c>
      <c r="C56" s="63"/>
      <c r="D56" s="63"/>
      <c r="E56" s="64">
        <f>SUM(E6:E55)</f>
      </c>
      <c r="F56" s="63"/>
      <c r="G56" s="63"/>
      <c r="H56" s="63"/>
      <c r="I56" s="1"/>
      <c r="J56" s="1"/>
      <c r="K56" s="1"/>
      <c r="L56" s="1"/>
      <c r="M56" s="1"/>
      <c r="N56" s="1"/>
    </row>
    <row r="57" spans="1:14" x14ac:dyDescent="0.25">
      <c r="A57" s="1"/>
      <c r="B57" s="1"/>
      <c r="C57" s="1"/>
      <c r="D57" s="1"/>
      <c r="E57" s="1"/>
      <c r="F57" s="1"/>
      <c r="G57" s="1"/>
      <c r="H57" s="1"/>
      <c r="I57" s="1"/>
      <c r="J57" s="1"/>
      <c r="K57" s="1"/>
      <c r="L57" s="1"/>
      <c r="M57" s="1"/>
      <c r="N57" s="1"/>
    </row>
    <row r="58" ht="24" customHeight="1" spans="1:14" x14ac:dyDescent="0.25">
      <c r="A58" s="1"/>
      <c r="B58" s="75" t="s">
        <v>171</v>
      </c>
      <c r="C58" s="1"/>
      <c r="D58" s="1"/>
      <c r="E58" s="1"/>
      <c r="F58" s="1"/>
      <c r="G58" s="1"/>
      <c r="H58" s="1"/>
      <c r="I58" s="1"/>
      <c r="J58" s="1"/>
      <c r="K58" s="1"/>
      <c r="L58" s="1"/>
      <c r="M58" s="1"/>
      <c r="N58" s="1"/>
    </row>
    <row r="59" ht="28" customHeight="1" spans="1:14" x14ac:dyDescent="0.25">
      <c r="A59" s="1"/>
      <c r="B59" s="51" t="s">
        <v>172</v>
      </c>
      <c r="C59" s="51" t="s">
        <v>173</v>
      </c>
      <c r="D59" s="51" t="s">
        <v>174</v>
      </c>
      <c r="E59" s="51" t="s">
        <v>175</v>
      </c>
      <c r="F59" s="1"/>
      <c r="G59" s="1"/>
      <c r="H59" s="1"/>
      <c r="I59" s="1"/>
      <c r="J59" s="1"/>
      <c r="K59" s="1"/>
      <c r="L59" s="1"/>
      <c r="M59" s="1"/>
      <c r="N59" s="1"/>
    </row>
    <row r="60" spans="1:14" x14ac:dyDescent="0.25">
      <c r="A60" s="1"/>
      <c r="B60" s="76">
        <f>EDATE(DATE(YEAR(TODAY()),MONTH(TODAY()),1),0)</f>
      </c>
      <c r="C60" s="77">
        <f>SUMIFS($E$6:$E$55,$I$6:$I$55,B60)</f>
      </c>
      <c r="D60" s="78">
        <f>SUMIFS($E$6:$E$55,$B$6:$B$55,"&gt;="&amp;B60,$B$6:$B$55,"&lt;"&amp;EDATE(B60,1),$F$6:$F$55,"Yes")</f>
      </c>
      <c r="E60" s="78">
        <f>SUM($C$60:C60)</f>
      </c>
      <c r="F60" s="1"/>
      <c r="G60" s="1"/>
      <c r="H60" s="1"/>
      <c r="I60" s="1"/>
      <c r="J60" s="1"/>
      <c r="K60" s="1"/>
      <c r="L60" s="1"/>
      <c r="M60" s="1"/>
      <c r="N60" s="1"/>
    </row>
    <row r="61" spans="1:14" x14ac:dyDescent="0.25">
      <c r="A61" s="1"/>
      <c r="B61" s="79">
        <f>EDATE(DATE(YEAR(TODAY()),MONTH(TODAY()),1),1)</f>
      </c>
      <c r="C61" s="80">
        <f>SUMIFS($E$6:$E$55,$I$6:$I$55,B61)</f>
      </c>
      <c r="D61" s="81">
        <f>SUMIFS($E$6:$E$55,$B$6:$B$55,"&gt;="&amp;B61,$B$6:$B$55,"&lt;"&amp;EDATE(B61,1),$F$6:$F$55,"Yes")</f>
      </c>
      <c r="E61" s="81">
        <f>SUM($C$60:C61)</f>
      </c>
      <c r="F61" s="1"/>
      <c r="G61" s="1"/>
      <c r="H61" s="1"/>
      <c r="I61" s="1"/>
      <c r="J61" s="1"/>
      <c r="K61" s="1"/>
      <c r="L61" s="1"/>
      <c r="M61" s="1"/>
      <c r="N61" s="1"/>
    </row>
    <row r="62" spans="1:14" x14ac:dyDescent="0.25">
      <c r="A62" s="1"/>
      <c r="B62" s="76">
        <f>EDATE(DATE(YEAR(TODAY()),MONTH(TODAY()),1),2)</f>
      </c>
      <c r="C62" s="77">
        <f>SUMIFS($E$6:$E$55,$I$6:$I$55,B62)</f>
      </c>
      <c r="D62" s="78">
        <f>SUMIFS($E$6:$E$55,$B$6:$B$55,"&gt;="&amp;B62,$B$6:$B$55,"&lt;"&amp;EDATE(B62,1),$F$6:$F$55,"Yes")</f>
      </c>
      <c r="E62" s="78">
        <f>SUM($C$60:C62)</f>
      </c>
      <c r="F62" s="1"/>
      <c r="G62" s="1"/>
      <c r="H62" s="1"/>
      <c r="I62" s="1"/>
      <c r="J62" s="1"/>
      <c r="K62" s="1"/>
      <c r="L62" s="1"/>
      <c r="M62" s="1"/>
      <c r="N62" s="1"/>
    </row>
    <row r="63" spans="1:14" x14ac:dyDescent="0.25">
      <c r="A63" s="1"/>
      <c r="B63" s="79">
        <f>EDATE(DATE(YEAR(TODAY()),MONTH(TODAY()),1),3)</f>
      </c>
      <c r="C63" s="80">
        <f>SUMIFS($E$6:$E$55,$I$6:$I$55,B63)</f>
      </c>
      <c r="D63" s="81">
        <f>SUMIFS($E$6:$E$55,$B$6:$B$55,"&gt;="&amp;B63,$B$6:$B$55,"&lt;"&amp;EDATE(B63,1),$F$6:$F$55,"Yes")</f>
      </c>
      <c r="E63" s="81">
        <f>SUM($C$60:C63)</f>
      </c>
      <c r="F63" s="1"/>
      <c r="G63" s="1"/>
      <c r="H63" s="1"/>
      <c r="I63" s="1"/>
      <c r="J63" s="1"/>
      <c r="K63" s="1"/>
      <c r="L63" s="1"/>
      <c r="M63" s="1"/>
      <c r="N63" s="1"/>
    </row>
    <row r="64" spans="1:14" x14ac:dyDescent="0.25">
      <c r="A64" s="1"/>
      <c r="B64" s="76">
        <f>EDATE(DATE(YEAR(TODAY()),MONTH(TODAY()),1),4)</f>
      </c>
      <c r="C64" s="77">
        <f>SUMIFS($E$6:$E$55,$I$6:$I$55,B64)</f>
      </c>
      <c r="D64" s="78">
        <f>SUMIFS($E$6:$E$55,$B$6:$B$55,"&gt;="&amp;B64,$B$6:$B$55,"&lt;"&amp;EDATE(B64,1),$F$6:$F$55,"Yes")</f>
      </c>
      <c r="E64" s="78">
        <f>SUM($C$60:C64)</f>
      </c>
      <c r="F64" s="1"/>
      <c r="G64" s="1"/>
      <c r="H64" s="1"/>
      <c r="I64" s="1"/>
      <c r="J64" s="1"/>
      <c r="K64" s="1"/>
      <c r="L64" s="1"/>
      <c r="M64" s="1"/>
      <c r="N64" s="1"/>
    </row>
    <row r="65" spans="1:14" x14ac:dyDescent="0.25">
      <c r="A65" s="1"/>
      <c r="B65" s="79">
        <f>EDATE(DATE(YEAR(TODAY()),MONTH(TODAY()),1),5)</f>
      </c>
      <c r="C65" s="80">
        <f>SUMIFS($E$6:$E$55,$I$6:$I$55,B65)</f>
      </c>
      <c r="D65" s="81">
        <f>SUMIFS($E$6:$E$55,$B$6:$B$55,"&gt;="&amp;B65,$B$6:$B$55,"&lt;"&amp;EDATE(B65,1),$F$6:$F$55,"Yes")</f>
      </c>
      <c r="E65" s="81">
        <f>SUM($C$60:C65)</f>
      </c>
      <c r="F65" s="1"/>
      <c r="G65" s="1"/>
      <c r="H65" s="1"/>
      <c r="I65" s="1"/>
      <c r="J65" s="1"/>
      <c r="K65" s="1"/>
      <c r="L65" s="1"/>
      <c r="M65" s="1"/>
      <c r="N65" s="1"/>
    </row>
    <row r="66" spans="1:14" x14ac:dyDescent="0.25">
      <c r="A66" s="1"/>
      <c r="B66" s="76">
        <f>EDATE(DATE(YEAR(TODAY()),MONTH(TODAY()),1),6)</f>
      </c>
      <c r="C66" s="77">
        <f>SUMIFS($E$6:$E$55,$I$6:$I$55,B66)</f>
      </c>
      <c r="D66" s="78">
        <f>SUMIFS($E$6:$E$55,$B$6:$B$55,"&gt;="&amp;B66,$B$6:$B$55,"&lt;"&amp;EDATE(B66,1),$F$6:$F$55,"Yes")</f>
      </c>
      <c r="E66" s="78">
        <f>SUM($C$60:C66)</f>
      </c>
      <c r="F66" s="1"/>
      <c r="G66" s="1"/>
      <c r="H66" s="1"/>
      <c r="I66" s="1"/>
      <c r="J66" s="1"/>
      <c r="K66" s="1"/>
      <c r="L66" s="1"/>
      <c r="M66" s="1"/>
      <c r="N66" s="1"/>
    </row>
    <row r="67" spans="1:14" x14ac:dyDescent="0.25">
      <c r="A67" s="1"/>
      <c r="B67" s="79">
        <f>EDATE(DATE(YEAR(TODAY()),MONTH(TODAY()),1),7)</f>
      </c>
      <c r="C67" s="80">
        <f>SUMIFS($E$6:$E$55,$I$6:$I$55,B67)</f>
      </c>
      <c r="D67" s="81">
        <f>SUMIFS($E$6:$E$55,$B$6:$B$55,"&gt;="&amp;B67,$B$6:$B$55,"&lt;"&amp;EDATE(B67,1),$F$6:$F$55,"Yes")</f>
      </c>
      <c r="E67" s="81">
        <f>SUM($C$60:C67)</f>
      </c>
      <c r="F67" s="1"/>
      <c r="G67" s="1"/>
      <c r="H67" s="1"/>
      <c r="I67" s="1"/>
      <c r="J67" s="1"/>
      <c r="K67" s="1"/>
      <c r="L67" s="1"/>
      <c r="M67" s="1"/>
      <c r="N67" s="1"/>
    </row>
    <row r="68" spans="1:14" x14ac:dyDescent="0.25">
      <c r="A68" s="1"/>
      <c r="B68" s="76">
        <f>EDATE(DATE(YEAR(TODAY()),MONTH(TODAY()),1),8)</f>
      </c>
      <c r="C68" s="77">
        <f>SUMIFS($E$6:$E$55,$I$6:$I$55,B68)</f>
      </c>
      <c r="D68" s="78">
        <f>SUMIFS($E$6:$E$55,$B$6:$B$55,"&gt;="&amp;B68,$B$6:$B$55,"&lt;"&amp;EDATE(B68,1),$F$6:$F$55,"Yes")</f>
      </c>
      <c r="E68" s="78">
        <f>SUM($C$60:C68)</f>
      </c>
      <c r="F68" s="1"/>
      <c r="G68" s="1"/>
      <c r="H68" s="1"/>
      <c r="I68" s="1"/>
      <c r="J68" s="1"/>
      <c r="K68" s="1"/>
      <c r="L68" s="1"/>
      <c r="M68" s="1"/>
      <c r="N68" s="1"/>
    </row>
    <row r="69" spans="1:14" x14ac:dyDescent="0.25">
      <c r="A69" s="1"/>
      <c r="B69" s="79">
        <f>EDATE(DATE(YEAR(TODAY()),MONTH(TODAY()),1),9)</f>
      </c>
      <c r="C69" s="80">
        <f>SUMIFS($E$6:$E$55,$I$6:$I$55,B69)</f>
      </c>
      <c r="D69" s="81">
        <f>SUMIFS($E$6:$E$55,$B$6:$B$55,"&gt;="&amp;B69,$B$6:$B$55,"&lt;"&amp;EDATE(B69,1),$F$6:$F$55,"Yes")</f>
      </c>
      <c r="E69" s="81">
        <f>SUM($C$60:C69)</f>
      </c>
      <c r="F69" s="1"/>
      <c r="G69" s="1"/>
      <c r="H69" s="1"/>
      <c r="I69" s="1"/>
      <c r="J69" s="1"/>
      <c r="K69" s="1"/>
      <c r="L69" s="1"/>
      <c r="M69" s="1"/>
      <c r="N69" s="1"/>
    </row>
    <row r="70" spans="1:14" x14ac:dyDescent="0.25">
      <c r="A70" s="1"/>
      <c r="B70" s="76">
        <f>EDATE(DATE(YEAR(TODAY()),MONTH(TODAY()),1),10)</f>
      </c>
      <c r="C70" s="77">
        <f>SUMIFS($E$6:$E$55,$I$6:$I$55,B70)</f>
      </c>
      <c r="D70" s="78">
        <f>SUMIFS($E$6:$E$55,$B$6:$B$55,"&gt;="&amp;B70,$B$6:$B$55,"&lt;"&amp;EDATE(B70,1),$F$6:$F$55,"Yes")</f>
      </c>
      <c r="E70" s="78">
        <f>SUM($C$60:C70)</f>
      </c>
      <c r="F70" s="1"/>
      <c r="G70" s="1"/>
      <c r="H70" s="1"/>
      <c r="I70" s="1"/>
      <c r="J70" s="1"/>
      <c r="K70" s="1"/>
      <c r="L70" s="1"/>
      <c r="M70" s="1"/>
      <c r="N70" s="1"/>
    </row>
    <row r="71" spans="2:5" x14ac:dyDescent="0.25">
      <c r="B71" s="79">
        <f>EDATE(DATE(YEAR(TODAY()),MONTH(TODAY()),1),11)</f>
      </c>
      <c r="C71" s="80">
        <f>SUMIFS($E$6:$E$55,$I$6:$I$55,B71)</f>
      </c>
      <c r="D71" s="81">
        <f>SUMIFS($E$6:$E$55,$B$6:$B$55,"&gt;="&amp;B71,$B$6:$B$55,"&lt;"&amp;EDATE(B71,1),$F$6:$F$55,"Yes")</f>
      </c>
      <c r="E71" s="81">
        <f>SUM($C$60:C71)</f>
      </c>
    </row>
    <row r="73" ht="30" customHeight="1" spans="2:11" x14ac:dyDescent="0.25">
      <c r="B73" s="82" t="s">
        <v>176</v>
      </c>
      <c r="C73" s="82"/>
      <c r="D73" s="82"/>
      <c r="E73" s="82"/>
      <c r="F73" s="82"/>
      <c r="G73" s="82"/>
      <c r="H73" s="82"/>
      <c r="I73" s="82"/>
      <c r="J73" s="82"/>
      <c r="K73" s="82"/>
    </row>
  </sheetData>
  <mergeCells count="3">
    <mergeCell ref="B2:L2"/>
    <mergeCell ref="B3:L3"/>
    <mergeCell ref="B73:K73"/>
  </mergeCells>
  <conditionalFormatting sqref="H6:H55">
    <cfRule type="expression" dxfId="3" priority="1">
      <formula>H6="OVERDUE"</formula>
    </cfRule>
  </conditionalFormatting>
  <conditionalFormatting sqref="H6:H55">
    <cfRule type="expression" dxfId="4" priority="1">
      <formula>H6="Due soon"</formula>
    </cfRule>
  </conditionalFormatting>
  <conditionalFormatting sqref="H6:H55">
    <cfRule type="expression" dxfId="5" priority="1">
      <formula>H6="Paid"</formula>
    </cfRule>
  </conditionalFormatting>
  <pageMargins left="0.4" right="0.4" top="0.5" bottom="0.5" header="0.2" footer="0.2"/>
  <pageSetup orientation="portrait"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pageSetUpPr fitToPage="1"/>
  </sheetPr>
  <dimension ref="A1:J45"/>
  <sheetViews>
    <sheetView workbookViewId="0" showGridLines="0" zoomScale="100"/>
  </sheetViews>
  <sheetFormatPr defaultRowHeight="15" outlineLevelRow="0" outlineLevelCol="0" x14ac:dyDescent="55"/>
  <cols>
    <col min="1" max="1" width="3" customWidth="1"/>
    <col min="2" max="2" width="34" customWidth="1"/>
    <col min="3" max="3" width="12" customWidth="1"/>
    <col min="4" max="5" width="14" customWidth="1"/>
    <col min="6" max="6" width="12" customWidth="1"/>
    <col min="7" max="7" width="30" customWidth="1"/>
    <col min="8" max="8" width="9" hidden="1" customWidth="1"/>
  </cols>
  <sheetData>
    <row r="1" ht="14" customHeight="1" spans="1:10" x14ac:dyDescent="0.25">
      <c r="A1" s="1"/>
      <c r="B1" s="1"/>
      <c r="C1" s="1"/>
      <c r="D1" s="1"/>
      <c r="E1" s="1"/>
      <c r="F1" s="1"/>
      <c r="G1" s="1"/>
      <c r="H1" s="1"/>
      <c r="I1" s="1"/>
      <c r="J1" s="1"/>
    </row>
    <row r="2" ht="38" customHeight="1" spans="1:10" x14ac:dyDescent="0.25">
      <c r="A2" s="1"/>
      <c r="B2" s="34" t="s">
        <v>191</v>
      </c>
      <c r="C2" s="34"/>
      <c r="D2" s="34"/>
      <c r="E2" s="34"/>
      <c r="F2" s="34"/>
      <c r="G2" s="34"/>
      <c r="H2" s="34"/>
      <c r="I2" s="1"/>
      <c r="J2" s="1"/>
    </row>
    <row r="3" ht="18" customHeight="1" spans="1:10" x14ac:dyDescent="0.25">
      <c r="A3" s="1"/>
      <c r="B3" s="35" t="s">
        <v>192</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193</v>
      </c>
      <c r="C5" s="50" t="s">
        <v>194</v>
      </c>
      <c r="D5" s="50" t="s">
        <v>195</v>
      </c>
      <c r="E5" s="51" t="s">
        <v>196</v>
      </c>
      <c r="F5" s="51" t="s">
        <v>197</v>
      </c>
      <c r="G5" s="49" t="s">
        <v>91</v>
      </c>
      <c r="H5" s="1"/>
      <c r="I5" s="1"/>
      <c r="J5" s="1"/>
    </row>
    <row r="6" ht="19" customHeight="1" spans="1:10" x14ac:dyDescent="0.25">
      <c r="A6" s="1"/>
      <c r="B6" s="66" t="s">
        <v>198</v>
      </c>
      <c r="C6" s="59">
        <v>800</v>
      </c>
      <c r="D6" s="54"/>
      <c r="E6" s="56" t="s">
        <v>96</v>
      </c>
      <c r="F6" s="56" t="s">
        <v>96</v>
      </c>
      <c r="G6" s="53"/>
      <c r="H6" s="1">
        <f>IF(AND(E6="Yes",F6&lt;&gt;"Yes"),IF(D6="",C6,D6),0)</f>
      </c>
      <c r="I6" s="1"/>
      <c r="J6" s="1"/>
    </row>
    <row r="7" ht="19" customHeight="1" spans="1:10" x14ac:dyDescent="0.25">
      <c r="A7" s="1"/>
      <c r="B7" s="68" t="s">
        <v>199</v>
      </c>
      <c r="C7" s="61">
        <v>1500</v>
      </c>
      <c r="D7" s="54"/>
      <c r="E7" s="56" t="s">
        <v>96</v>
      </c>
      <c r="F7" s="56" t="s">
        <v>96</v>
      </c>
      <c r="G7" s="53"/>
      <c r="H7" s="1">
        <f>IF(AND(E7="Yes",F7&lt;&gt;"Yes"),IF(D7="",C7,D7),0)</f>
      </c>
      <c r="I7" s="1"/>
      <c r="J7" s="1"/>
    </row>
    <row r="8" ht="19" customHeight="1" spans="1:10" x14ac:dyDescent="0.25">
      <c r="A8" s="1"/>
      <c r="B8" s="66" t="s">
        <v>200</v>
      </c>
      <c r="C8" s="59">
        <v>1200</v>
      </c>
      <c r="D8" s="54"/>
      <c r="E8" s="56" t="s">
        <v>96</v>
      </c>
      <c r="F8" s="56" t="s">
        <v>96</v>
      </c>
      <c r="G8" s="53"/>
      <c r="H8" s="1">
        <f>IF(AND(E8="Yes",F8&lt;&gt;"Yes"),IF(D8="",C8,D8),0)</f>
      </c>
      <c r="I8" s="1"/>
      <c r="J8" s="1"/>
    </row>
    <row r="9" ht="19" customHeight="1" spans="1:10" x14ac:dyDescent="0.25">
      <c r="A9" s="1"/>
      <c r="B9" s="68" t="s">
        <v>201</v>
      </c>
      <c r="C9" s="61">
        <v>350</v>
      </c>
      <c r="D9" s="54"/>
      <c r="E9" s="56" t="s">
        <v>96</v>
      </c>
      <c r="F9" s="56" t="s">
        <v>96</v>
      </c>
      <c r="G9" s="53"/>
      <c r="H9" s="1">
        <f>IF(AND(E9="Yes",F9&lt;&gt;"Yes"),IF(D9="",C9,D9),0)</f>
      </c>
      <c r="I9" s="1"/>
      <c r="J9" s="1"/>
    </row>
    <row r="10" ht="19" customHeight="1" spans="1:10" x14ac:dyDescent="0.25">
      <c r="A10" s="1"/>
      <c r="B10" s="66" t="s">
        <v>202</v>
      </c>
      <c r="C10" s="59">
        <v>500</v>
      </c>
      <c r="D10" s="54"/>
      <c r="E10" s="56" t="s">
        <v>96</v>
      </c>
      <c r="F10" s="56" t="s">
        <v>93</v>
      </c>
      <c r="G10" s="53"/>
      <c r="H10" s="1">
        <f>IF(AND(E10="Yes",F10&lt;&gt;"Yes"),IF(D10="",C10,D10),0)</f>
      </c>
      <c r="I10" s="1"/>
      <c r="J10" s="1"/>
    </row>
    <row r="11" ht="19" customHeight="1" spans="1:10" x14ac:dyDescent="0.25">
      <c r="A11" s="1"/>
      <c r="B11" s="68" t="s">
        <v>203</v>
      </c>
      <c r="C11" s="61">
        <v>450</v>
      </c>
      <c r="D11" s="54"/>
      <c r="E11" s="56" t="s">
        <v>96</v>
      </c>
      <c r="F11" s="56" t="s">
        <v>93</v>
      </c>
      <c r="G11" s="53"/>
      <c r="H11" s="1">
        <f>IF(AND(E11="Yes",F11&lt;&gt;"Yes"),IF(D11="",C11,D11),0)</f>
      </c>
      <c r="I11" s="1"/>
      <c r="J11" s="1"/>
    </row>
    <row r="12" ht="19" customHeight="1" spans="1:10" x14ac:dyDescent="0.25">
      <c r="A12" s="1"/>
      <c r="B12" s="66" t="s">
        <v>204</v>
      </c>
      <c r="C12" s="59">
        <v>250</v>
      </c>
      <c r="D12" s="54"/>
      <c r="E12" s="56" t="s">
        <v>96</v>
      </c>
      <c r="F12" s="56" t="s">
        <v>93</v>
      </c>
      <c r="G12" s="53"/>
      <c r="H12" s="1">
        <f>IF(AND(E12="Yes",F12&lt;&gt;"Yes"),IF(D12="",C12,D12),0)</f>
      </c>
      <c r="I12" s="1"/>
      <c r="J12" s="1"/>
    </row>
    <row r="13" ht="19" customHeight="1" spans="1:10" x14ac:dyDescent="0.25">
      <c r="A13" s="1"/>
      <c r="B13" s="68" t="s">
        <v>205</v>
      </c>
      <c r="C13" s="61">
        <v>150</v>
      </c>
      <c r="D13" s="54"/>
      <c r="E13" s="56" t="s">
        <v>96</v>
      </c>
      <c r="F13" s="56" t="s">
        <v>93</v>
      </c>
      <c r="G13" s="53"/>
      <c r="H13" s="1">
        <f>IF(AND(E13="Yes",F13&lt;&gt;"Yes"),IF(D13="",C13,D13),0)</f>
      </c>
      <c r="I13" s="1"/>
      <c r="J13" s="1"/>
    </row>
    <row r="14" ht="19" customHeight="1" spans="1:10" x14ac:dyDescent="0.25">
      <c r="A14" s="1"/>
      <c r="B14" s="66" t="s">
        <v>206</v>
      </c>
      <c r="C14" s="59">
        <v>180</v>
      </c>
      <c r="D14" s="54"/>
      <c r="E14" s="56" t="s">
        <v>96</v>
      </c>
      <c r="F14" s="56" t="s">
        <v>93</v>
      </c>
      <c r="G14" s="53"/>
      <c r="H14" s="1">
        <f>IF(AND(E14="Yes",F14&lt;&gt;"Yes"),IF(D14="",C14,D14),0)</f>
      </c>
      <c r="I14" s="1"/>
      <c r="J14" s="1"/>
    </row>
    <row r="15" ht="19" customHeight="1" spans="1:10" x14ac:dyDescent="0.25">
      <c r="A15" s="1"/>
      <c r="B15" s="68" t="s">
        <v>207</v>
      </c>
      <c r="C15" s="61">
        <v>300</v>
      </c>
      <c r="D15" s="54"/>
      <c r="E15" s="56" t="s">
        <v>96</v>
      </c>
      <c r="F15" s="56" t="s">
        <v>93</v>
      </c>
      <c r="G15" s="53"/>
      <c r="H15" s="1">
        <f>IF(AND(E15="Yes",F15&lt;&gt;"Yes"),IF(D15="",C15,D15),0)</f>
      </c>
      <c r="I15" s="1"/>
      <c r="J15" s="1"/>
    </row>
    <row r="16" ht="19" customHeight="1" spans="1:10" x14ac:dyDescent="0.25">
      <c r="A16" s="1"/>
      <c r="B16" s="66" t="s">
        <v>208</v>
      </c>
      <c r="C16" s="59">
        <v>400</v>
      </c>
      <c r="D16" s="54"/>
      <c r="E16" s="56" t="s">
        <v>96</v>
      </c>
      <c r="F16" s="56" t="s">
        <v>93</v>
      </c>
      <c r="G16" s="53"/>
      <c r="H16" s="1">
        <f>IF(AND(E16="Yes",F16&lt;&gt;"Yes"),IF(D16="",C16,D16),0)</f>
      </c>
      <c r="I16" s="1"/>
      <c r="J16" s="1"/>
    </row>
    <row r="17" ht="19" customHeight="1" spans="1:10" x14ac:dyDescent="0.25">
      <c r="A17" s="1"/>
      <c r="B17" s="68" t="s">
        <v>209</v>
      </c>
      <c r="C17" s="61">
        <v>250</v>
      </c>
      <c r="D17" s="54"/>
      <c r="E17" s="56" t="s">
        <v>96</v>
      </c>
      <c r="F17" s="56" t="s">
        <v>93</v>
      </c>
      <c r="G17" s="53"/>
      <c r="H17" s="1">
        <f>IF(AND(E17="Yes",F17&lt;&gt;"Yes"),IF(D17="",C17,D17),0)</f>
      </c>
      <c r="I17" s="1"/>
      <c r="J17" s="1"/>
    </row>
    <row r="18" ht="19" customHeight="1" spans="1:10" x14ac:dyDescent="0.25">
      <c r="A18" s="1"/>
      <c r="B18" s="66" t="s">
        <v>210</v>
      </c>
      <c r="C18" s="59">
        <v>400</v>
      </c>
      <c r="D18" s="54"/>
      <c r="E18" s="56" t="s">
        <v>96</v>
      </c>
      <c r="F18" s="56" t="s">
        <v>93</v>
      </c>
      <c r="G18" s="53"/>
      <c r="H18" s="1">
        <f>IF(AND(E18="Yes",F18&lt;&gt;"Yes"),IF(D18="",C18,D18),0)</f>
      </c>
      <c r="I18" s="1"/>
      <c r="J18" s="1"/>
    </row>
    <row r="19" ht="19" customHeight="1" spans="1:10" x14ac:dyDescent="0.25">
      <c r="A19" s="1"/>
      <c r="B19" s="68" t="s">
        <v>211</v>
      </c>
      <c r="C19" s="61">
        <v>200</v>
      </c>
      <c r="D19" s="54"/>
      <c r="E19" s="56" t="s">
        <v>96</v>
      </c>
      <c r="F19" s="56" t="s">
        <v>93</v>
      </c>
      <c r="G19" s="53"/>
      <c r="H19" s="1">
        <f>IF(AND(E19="Yes",F19&lt;&gt;"Yes"),IF(D19="",C19,D19),0)</f>
      </c>
      <c r="I19" s="1"/>
      <c r="J19" s="1"/>
    </row>
    <row r="20" ht="19" customHeight="1" spans="1:10" x14ac:dyDescent="0.25">
      <c r="A20" s="1"/>
      <c r="B20" s="66" t="s">
        <v>212</v>
      </c>
      <c r="C20" s="59">
        <v>600</v>
      </c>
      <c r="D20" s="54"/>
      <c r="E20" s="56" t="s">
        <v>213</v>
      </c>
      <c r="F20" s="56" t="s">
        <v>93</v>
      </c>
      <c r="G20" s="53"/>
      <c r="H20" s="1">
        <f>IF(AND(E20="Yes",F20&lt;&gt;"Yes"),IF(D20="",C20,D20),0)</f>
      </c>
      <c r="I20" s="1"/>
      <c r="J20" s="1"/>
    </row>
    <row r="21" ht="19" customHeight="1" spans="1:10" x14ac:dyDescent="0.25">
      <c r="A21" s="1"/>
      <c r="B21" s="68" t="s">
        <v>214</v>
      </c>
      <c r="C21" s="61">
        <v>450</v>
      </c>
      <c r="D21" s="54"/>
      <c r="E21" s="56" t="s">
        <v>213</v>
      </c>
      <c r="F21" s="56" t="s">
        <v>93</v>
      </c>
      <c r="G21" s="53"/>
      <c r="H21" s="1">
        <f>IF(AND(E21="Yes",F21&lt;&gt;"Yes"),IF(D21="",C21,D21),0)</f>
      </c>
      <c r="I21" s="1"/>
      <c r="J21" s="1"/>
    </row>
    <row r="22" ht="19" customHeight="1" spans="1:10" x14ac:dyDescent="0.25">
      <c r="A22" s="1"/>
      <c r="B22" s="66" t="s">
        <v>215</v>
      </c>
      <c r="C22" s="59">
        <v>350</v>
      </c>
      <c r="D22" s="54"/>
      <c r="E22" s="56" t="s">
        <v>213</v>
      </c>
      <c r="F22" s="56" t="s">
        <v>93</v>
      </c>
      <c r="G22" s="53"/>
      <c r="H22" s="1">
        <f>IF(AND(E22="Yes",F22&lt;&gt;"Yes"),IF(D22="",C22,D22),0)</f>
      </c>
      <c r="I22" s="1"/>
      <c r="J22" s="1"/>
    </row>
    <row r="23" ht="19" customHeight="1" spans="1:10" x14ac:dyDescent="0.25">
      <c r="A23" s="1"/>
      <c r="B23" s="68" t="s">
        <v>216</v>
      </c>
      <c r="C23" s="61">
        <v>200</v>
      </c>
      <c r="D23" s="54"/>
      <c r="E23" s="56" t="s">
        <v>213</v>
      </c>
      <c r="F23" s="56" t="s">
        <v>93</v>
      </c>
      <c r="G23" s="53"/>
      <c r="H23" s="1">
        <f>IF(AND(E23="Yes",F23&lt;&gt;"Yes"),IF(D23="",C23,D23),0)</f>
      </c>
      <c r="I23" s="1"/>
      <c r="J23" s="1"/>
    </row>
    <row r="24" ht="19" customHeight="1" spans="1:10" x14ac:dyDescent="0.25">
      <c r="A24" s="1"/>
      <c r="B24" s="66" t="s">
        <v>217</v>
      </c>
      <c r="C24" s="59">
        <v>150</v>
      </c>
      <c r="D24" s="54"/>
      <c r="E24" s="56" t="s">
        <v>213</v>
      </c>
      <c r="F24" s="56" t="s">
        <v>93</v>
      </c>
      <c r="G24" s="53"/>
      <c r="H24" s="1">
        <f>IF(AND(E24="Yes",F24&lt;&gt;"Yes"),IF(D24="",C24,D24),0)</f>
      </c>
      <c r="I24" s="1"/>
      <c r="J24" s="1"/>
    </row>
    <row r="25" ht="19" customHeight="1" spans="1:10" x14ac:dyDescent="0.25">
      <c r="A25" s="1"/>
      <c r="B25" s="68" t="s">
        <v>218</v>
      </c>
      <c r="C25" s="61">
        <v>250</v>
      </c>
      <c r="D25" s="54"/>
      <c r="E25" s="56" t="s">
        <v>213</v>
      </c>
      <c r="F25" s="56" t="s">
        <v>93</v>
      </c>
      <c r="G25" s="53"/>
      <c r="H25" s="1">
        <f>IF(AND(E25="Yes",F25&lt;&gt;"Yes"),IF(D25="",C25,D25),0)</f>
      </c>
      <c r="I25" s="1"/>
      <c r="J25" s="1"/>
    </row>
    <row r="26" ht="19" customHeight="1" spans="1:10" x14ac:dyDescent="0.25">
      <c r="A26" s="1"/>
      <c r="B26" s="66" t="s">
        <v>219</v>
      </c>
      <c r="C26" s="59">
        <v>500</v>
      </c>
      <c r="D26" s="54"/>
      <c r="E26" s="56" t="s">
        <v>213</v>
      </c>
      <c r="F26" s="56" t="s">
        <v>93</v>
      </c>
      <c r="G26" s="53"/>
      <c r="H26" s="1">
        <f>IF(AND(E26="Yes",F26&lt;&gt;"Yes"),IF(D26="",C26,D26),0)</f>
      </c>
      <c r="I26" s="1"/>
      <c r="J26" s="1"/>
    </row>
    <row r="27" ht="19" customHeight="1" spans="1:10" x14ac:dyDescent="0.25">
      <c r="A27" s="1"/>
      <c r="B27" s="68" t="s">
        <v>220</v>
      </c>
      <c r="C27" s="61">
        <v>400</v>
      </c>
      <c r="D27" s="54"/>
      <c r="E27" s="56" t="s">
        <v>213</v>
      </c>
      <c r="F27" s="56" t="s">
        <v>93</v>
      </c>
      <c r="G27" s="53"/>
      <c r="H27" s="1">
        <f>IF(AND(E27="Yes",F27&lt;&gt;"Yes"),IF(D27="",C27,D27),0)</f>
      </c>
      <c r="I27" s="1"/>
      <c r="J27" s="1"/>
    </row>
    <row r="28" ht="24" customHeight="1" spans="1:10" x14ac:dyDescent="0.25">
      <c r="A28" s="1"/>
      <c r="B28" s="62" t="s">
        <v>221</v>
      </c>
      <c r="C28" s="63"/>
      <c r="D28" s="64">
        <f>SUM(H6:H27)</f>
      </c>
      <c r="E28" s="63"/>
      <c r="F28" s="63"/>
      <c r="G28" s="63"/>
      <c r="H28" s="1"/>
      <c r="I28" s="1"/>
      <c r="J28" s="1"/>
    </row>
    <row r="29" spans="1:10" x14ac:dyDescent="0.25">
      <c r="A29" s="1"/>
      <c r="B29" s="1"/>
      <c r="C29" s="1"/>
      <c r="D29" s="1"/>
      <c r="E29" s="1"/>
      <c r="F29" s="1"/>
      <c r="G29" s="1"/>
      <c r="H29" s="1"/>
      <c r="I29" s="1"/>
      <c r="J29" s="1"/>
    </row>
    <row r="30" spans="1:10" x14ac:dyDescent="0.25">
      <c r="A30" s="1"/>
      <c r="B30" s="87">
        <f>"Unbudgeted so far:  "&amp;Setup!$C$8&amp;TEXT(D28,"#,##0")</f>
      </c>
      <c r="C30" s="1"/>
      <c r="D30" s="1"/>
      <c r="E30" s="1"/>
      <c r="F30" s="1"/>
      <c r="G30" s="1"/>
      <c r="H30" s="1"/>
      <c r="I30" s="1"/>
      <c r="J30" s="1"/>
    </row>
    <row r="31" spans="1:10" x14ac:dyDescent="0.25">
      <c r="A31" s="1"/>
      <c r="B31" s="1"/>
      <c r="C31" s="1"/>
      <c r="D31" s="1"/>
      <c r="E31" s="1"/>
      <c r="F31" s="1"/>
      <c r="G31" s="1"/>
      <c r="H31" s="1"/>
      <c r="I31" s="1"/>
      <c r="J31" s="1"/>
    </row>
    <row r="32" ht="30" customHeight="1" spans="1:10" x14ac:dyDescent="0.25">
      <c r="A32" s="1"/>
      <c r="B32" s="48" t="s">
        <v>222</v>
      </c>
      <c r="C32" s="48"/>
      <c r="D32" s="48"/>
      <c r="E32" s="48"/>
      <c r="F32" s="48"/>
      <c r="G32" s="48"/>
      <c r="H32" s="48"/>
      <c r="I32" s="48"/>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2:I32"/>
  </mergeCells>
  <conditionalFormatting sqref="F6:F27">
    <cfRule type="expression" dxfId="8" priority="1">
      <formula>F6="Yes"</formula>
    </cfRule>
  </conditionalFormatting>
  <conditionalFormatting sqref="F6:F27">
    <cfRule type="expression" dxfId="9" priority="1">
      <formula>AND($E6="Yes",F6&lt;&gt;"Yes")</formula>
    </cfRule>
  </conditionalFormatting>
  <dataValidations count="2">
    <dataValidation type="list" allowBlank="1" sqref="E6:E27">
      <formula1>"Yes,No,Maybe"</formula1>
    </dataValidation>
    <dataValidation type="list" allowBlank="1" sqref="F6:F27">
      <formula1>"Yes,No"</formula1>
    </dataValidation>
  </dataValidations>
  <pageMargins left="0.4" right="0.4" top="0.5" bottom="0.5" header="0.2" footer="0.2"/>
  <pageSetup orientation="portrait"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L40"/>
  <sheetViews>
    <sheetView workbookViewId="0" showGridLines="0" zoomScale="100"/>
  </sheetViews>
  <sheetFormatPr defaultRowHeight="15" outlineLevelRow="0" outlineLevelCol="0" x14ac:dyDescent="55"/>
  <cols>
    <col min="1" max="1" width="3" customWidth="1"/>
    <col min="2" max="2" width="24" customWidth="1"/>
    <col min="3" max="3" width="13" customWidth="1"/>
    <col min="4" max="4" width="16" customWidth="1"/>
    <col min="5" max="6" width="13" customWidth="1"/>
    <col min="7" max="7" width="14" customWidth="1"/>
    <col min="8" max="8" width="11" customWidth="1"/>
    <col min="9" max="9" width="30" customWidth="1"/>
  </cols>
  <sheetData>
    <row r="1" ht="14" customHeight="1" spans="1:12" x14ac:dyDescent="0.25">
      <c r="A1" s="1"/>
      <c r="B1" s="1"/>
      <c r="C1" s="1"/>
      <c r="D1" s="1"/>
      <c r="E1" s="1"/>
      <c r="F1" s="1"/>
      <c r="G1" s="1"/>
      <c r="H1" s="1"/>
      <c r="I1" s="1"/>
      <c r="J1" s="1"/>
      <c r="K1" s="1"/>
      <c r="L1" s="1"/>
    </row>
    <row r="2" ht="38" customHeight="1" spans="1:12" x14ac:dyDescent="0.25">
      <c r="A2" s="1"/>
      <c r="B2" s="34" t="s">
        <v>223</v>
      </c>
      <c r="C2" s="34"/>
      <c r="D2" s="34"/>
      <c r="E2" s="34"/>
      <c r="F2" s="34"/>
      <c r="G2" s="34"/>
      <c r="H2" s="34"/>
      <c r="I2" s="34"/>
      <c r="J2" s="34"/>
      <c r="K2" s="1"/>
      <c r="L2" s="1"/>
    </row>
    <row r="3" ht="18" customHeight="1" spans="1:12" x14ac:dyDescent="0.25">
      <c r="A3" s="1"/>
      <c r="B3" s="35" t="s">
        <v>224</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79</v>
      </c>
      <c r="C5" s="50" t="s">
        <v>225</v>
      </c>
      <c r="D5" s="50" t="s">
        <v>226</v>
      </c>
      <c r="E5" s="50" t="s">
        <v>227</v>
      </c>
      <c r="F5" s="50" t="s">
        <v>228</v>
      </c>
      <c r="G5" s="50" t="s">
        <v>229</v>
      </c>
      <c r="H5" s="50" t="s">
        <v>230</v>
      </c>
      <c r="I5" s="49" t="s">
        <v>91</v>
      </c>
      <c r="J5" s="1"/>
      <c r="K5" s="1"/>
      <c r="L5" s="1"/>
    </row>
    <row r="6" ht="19" customHeight="1" spans="1:12" x14ac:dyDescent="0.25">
      <c r="A6" s="1"/>
      <c r="B6" s="52" t="s">
        <v>59</v>
      </c>
      <c r="C6" s="54">
        <v>10000</v>
      </c>
      <c r="D6" s="59">
        <f>IF(B6="","",SUMIF('Vendors &amp; Real Cost'!$C$6:$C$30,B6,'Vendors &amp; Real Cost'!$M$6:$M$30))</f>
      </c>
      <c r="E6" s="59">
        <f>IF(B6="","",SUMIFS('Vendors &amp; Real Cost'!$N$6:$N$30,'Vendors &amp; Real Cost'!$C$6:$C$30,B6,'Vendors &amp; Real Cost'!$O$6:$O$30,"&lt;"&amp;TODAY())+SUMIFS('Vendors &amp; Real Cost'!$P$6:$P$30,'Vendors &amp; Real Cost'!$C$6:$C$30,B6,'Vendors &amp; Real Cost'!$R$6:$R$30,"Yes"))</f>
      </c>
      <c r="F6" s="59">
        <f>IF(B6="","",D6-E6)</f>
      </c>
      <c r="G6" s="59">
        <f>IF(B6="","",D6-C6)</f>
      </c>
      <c r="H6" s="88">
        <f>IF(OR(B6="",$D$20=0),"",D6/$D$20)</f>
      </c>
      <c r="I6" s="53"/>
      <c r="J6" s="1"/>
      <c r="K6" s="1"/>
      <c r="L6" s="1"/>
    </row>
    <row r="7" ht="19" customHeight="1" spans="1:12" x14ac:dyDescent="0.25">
      <c r="A7" s="1"/>
      <c r="B7" s="52" t="s">
        <v>95</v>
      </c>
      <c r="C7" s="54">
        <v>8000</v>
      </c>
      <c r="D7" s="61">
        <f>IF(B7="","",SUMIF('Vendors &amp; Real Cost'!$C$6:$C$30,B7,'Vendors &amp; Real Cost'!$M$6:$M$30))</f>
      </c>
      <c r="E7" s="61">
        <f>IF(B7="","",SUMIFS('Vendors &amp; Real Cost'!$N$6:$N$30,'Vendors &amp; Real Cost'!$C$6:$C$30,B7,'Vendors &amp; Real Cost'!$O$6:$O$30,"&lt;"&amp;TODAY())+SUMIFS('Vendors &amp; Real Cost'!$P$6:$P$30,'Vendors &amp; Real Cost'!$C$6:$C$30,B7,'Vendors &amp; Real Cost'!$R$6:$R$30,"Yes"))</f>
      </c>
      <c r="F7" s="61">
        <f>IF(B7="","",D7-E7)</f>
      </c>
      <c r="G7" s="61">
        <f>IF(B7="","",D7-C7)</f>
      </c>
      <c r="H7" s="89">
        <f>IF(OR(B7="",$D$20=0),"",D7/$D$20)</f>
      </c>
      <c r="I7" s="53"/>
      <c r="J7" s="1"/>
      <c r="K7" s="1"/>
      <c r="L7" s="1"/>
    </row>
    <row r="8" ht="19" customHeight="1" spans="1:12" x14ac:dyDescent="0.25">
      <c r="A8" s="1"/>
      <c r="B8" s="52" t="s">
        <v>98</v>
      </c>
      <c r="C8" s="54">
        <v>3500</v>
      </c>
      <c r="D8" s="59">
        <f>IF(B8="","",SUMIF('Vendors &amp; Real Cost'!$C$6:$C$30,B8,'Vendors &amp; Real Cost'!$M$6:$M$30))</f>
      </c>
      <c r="E8" s="59">
        <f>IF(B8="","",SUMIFS('Vendors &amp; Real Cost'!$N$6:$N$30,'Vendors &amp; Real Cost'!$C$6:$C$30,B8,'Vendors &amp; Real Cost'!$O$6:$O$30,"&lt;"&amp;TODAY())+SUMIFS('Vendors &amp; Real Cost'!$P$6:$P$30,'Vendors &amp; Real Cost'!$C$6:$C$30,B8,'Vendors &amp; Real Cost'!$R$6:$R$30,"Yes"))</f>
      </c>
      <c r="F8" s="59">
        <f>IF(B8="","",D8-E8)</f>
      </c>
      <c r="G8" s="59">
        <f>IF(B8="","",D8-C8)</f>
      </c>
      <c r="H8" s="88">
        <f>IF(OR(B8="",$D$20=0),"",D8/$D$20)</f>
      </c>
      <c r="I8" s="53"/>
      <c r="J8" s="1"/>
      <c r="K8" s="1"/>
      <c r="L8" s="1"/>
    </row>
    <row r="9" ht="19" customHeight="1" spans="1:12" x14ac:dyDescent="0.25">
      <c r="A9" s="1"/>
      <c r="B9" s="52" t="s">
        <v>110</v>
      </c>
      <c r="C9" s="54">
        <v>2500</v>
      </c>
      <c r="D9" s="61">
        <f>IF(B9="","",SUMIF('Vendors &amp; Real Cost'!$C$6:$C$30,B9,'Vendors &amp; Real Cost'!$M$6:$M$30))</f>
      </c>
      <c r="E9" s="61">
        <f>IF(B9="","",SUMIFS('Vendors &amp; Real Cost'!$N$6:$N$30,'Vendors &amp; Real Cost'!$C$6:$C$30,B9,'Vendors &amp; Real Cost'!$O$6:$O$30,"&lt;"&amp;TODAY())+SUMIFS('Vendors &amp; Real Cost'!$P$6:$P$30,'Vendors &amp; Real Cost'!$C$6:$C$30,B9,'Vendors &amp; Real Cost'!$R$6:$R$30,"Yes"))</f>
      </c>
      <c r="F9" s="61">
        <f>IF(B9="","",D9-E9)</f>
      </c>
      <c r="G9" s="61">
        <f>IF(B9="","",D9-C9)</f>
      </c>
      <c r="H9" s="89">
        <f>IF(OR(B9="",$D$20=0),"",D9/$D$20)</f>
      </c>
      <c r="I9" s="53"/>
      <c r="J9" s="1"/>
      <c r="K9" s="1"/>
      <c r="L9" s="1"/>
    </row>
    <row r="10" ht="19" customHeight="1" spans="1:12" x14ac:dyDescent="0.25">
      <c r="A10" s="1"/>
      <c r="B10" s="52" t="s">
        <v>112</v>
      </c>
      <c r="C10" s="54">
        <v>700</v>
      </c>
      <c r="D10" s="59">
        <f>IF(B10="","",SUMIF('Vendors &amp; Real Cost'!$C$6:$C$30,B10,'Vendors &amp; Real Cost'!$M$6:$M$30))</f>
      </c>
      <c r="E10" s="59">
        <f>IF(B10="","",SUMIFS('Vendors &amp; Real Cost'!$N$6:$N$30,'Vendors &amp; Real Cost'!$C$6:$C$30,B10,'Vendors &amp; Real Cost'!$O$6:$O$30,"&lt;"&amp;TODAY())+SUMIFS('Vendors &amp; Real Cost'!$P$6:$P$30,'Vendors &amp; Real Cost'!$C$6:$C$30,B10,'Vendors &amp; Real Cost'!$R$6:$R$30,"Yes"))</f>
      </c>
      <c r="F10" s="59">
        <f>IF(B10="","",D10-E10)</f>
      </c>
      <c r="G10" s="59">
        <f>IF(B10="","",D10-C10)</f>
      </c>
      <c r="H10" s="88">
        <f>IF(OR(B10="",$D$20=0),"",D10/$D$20)</f>
      </c>
      <c r="I10" s="53"/>
      <c r="J10" s="1"/>
      <c r="K10" s="1"/>
      <c r="L10" s="1"/>
    </row>
    <row r="11" ht="19" customHeight="1" spans="1:12" x14ac:dyDescent="0.25">
      <c r="A11" s="1"/>
      <c r="B11" s="52" t="s">
        <v>100</v>
      </c>
      <c r="C11" s="54">
        <v>2000</v>
      </c>
      <c r="D11" s="61">
        <f>IF(B11="","",SUMIF('Vendors &amp; Real Cost'!$C$6:$C$30,B11,'Vendors &amp; Real Cost'!$M$6:$M$30))</f>
      </c>
      <c r="E11" s="61">
        <f>IF(B11="","",SUMIFS('Vendors &amp; Real Cost'!$N$6:$N$30,'Vendors &amp; Real Cost'!$C$6:$C$30,B11,'Vendors &amp; Real Cost'!$O$6:$O$30,"&lt;"&amp;TODAY())+SUMIFS('Vendors &amp; Real Cost'!$P$6:$P$30,'Vendors &amp; Real Cost'!$C$6:$C$30,B11,'Vendors &amp; Real Cost'!$R$6:$R$30,"Yes"))</f>
      </c>
      <c r="F11" s="61">
        <f>IF(B11="","",D11-E11)</f>
      </c>
      <c r="G11" s="61">
        <f>IF(B11="","",D11-C11)</f>
      </c>
      <c r="H11" s="89">
        <f>IF(OR(B11="",$D$20=0),"",D11/$D$20)</f>
      </c>
      <c r="I11" s="53"/>
      <c r="J11" s="1"/>
      <c r="K11" s="1"/>
      <c r="L11" s="1"/>
    </row>
    <row r="12" ht="19" customHeight="1" spans="1:12" x14ac:dyDescent="0.25">
      <c r="A12" s="1"/>
      <c r="B12" s="52" t="s">
        <v>102</v>
      </c>
      <c r="C12" s="54">
        <v>1500</v>
      </c>
      <c r="D12" s="59">
        <f>IF(B12="","",SUMIF('Vendors &amp; Real Cost'!$C$6:$C$30,B12,'Vendors &amp; Real Cost'!$M$6:$M$30))</f>
      </c>
      <c r="E12" s="59">
        <f>IF(B12="","",SUMIFS('Vendors &amp; Real Cost'!$N$6:$N$30,'Vendors &amp; Real Cost'!$C$6:$C$30,B12,'Vendors &amp; Real Cost'!$O$6:$O$30,"&lt;"&amp;TODAY())+SUMIFS('Vendors &amp; Real Cost'!$P$6:$P$30,'Vendors &amp; Real Cost'!$C$6:$C$30,B12,'Vendors &amp; Real Cost'!$R$6:$R$30,"Yes"))</f>
      </c>
      <c r="F12" s="59">
        <f>IF(B12="","",D12-E12)</f>
      </c>
      <c r="G12" s="59">
        <f>IF(B12="","",D12-C12)</f>
      </c>
      <c r="H12" s="88">
        <f>IF(OR(B12="",$D$20=0),"",D12/$D$20)</f>
      </c>
      <c r="I12" s="53"/>
      <c r="J12" s="1"/>
      <c r="K12" s="1"/>
      <c r="L12" s="1"/>
    </row>
    <row r="13" ht="19" customHeight="1" spans="1:12" x14ac:dyDescent="0.25">
      <c r="A13" s="1"/>
      <c r="B13" s="52" t="s">
        <v>104</v>
      </c>
      <c r="C13" s="54">
        <v>600</v>
      </c>
      <c r="D13" s="61">
        <f>IF(B13="","",SUMIF('Vendors &amp; Real Cost'!$C$6:$C$30,B13,'Vendors &amp; Real Cost'!$M$6:$M$30))</f>
      </c>
      <c r="E13" s="61">
        <f>IF(B13="","",SUMIFS('Vendors &amp; Real Cost'!$N$6:$N$30,'Vendors &amp; Real Cost'!$C$6:$C$30,B13,'Vendors &amp; Real Cost'!$O$6:$O$30,"&lt;"&amp;TODAY())+SUMIFS('Vendors &amp; Real Cost'!$P$6:$P$30,'Vendors &amp; Real Cost'!$C$6:$C$30,B13,'Vendors &amp; Real Cost'!$R$6:$R$30,"Yes"))</f>
      </c>
      <c r="F13" s="61">
        <f>IF(B13="","",D13-E13)</f>
      </c>
      <c r="G13" s="61">
        <f>IF(B13="","",D13-C13)</f>
      </c>
      <c r="H13" s="89">
        <f>IF(OR(B13="",$D$20=0),"",D13/$D$20)</f>
      </c>
      <c r="I13" s="53"/>
      <c r="J13" s="1"/>
      <c r="K13" s="1"/>
      <c r="L13" s="1"/>
    </row>
    <row r="14" ht="19" customHeight="1" spans="1:12" x14ac:dyDescent="0.25">
      <c r="A14" s="1"/>
      <c r="B14" s="52" t="s">
        <v>106</v>
      </c>
      <c r="C14" s="54">
        <v>500</v>
      </c>
      <c r="D14" s="59">
        <f>IF(B14="","",SUMIF('Vendors &amp; Real Cost'!$C$6:$C$30,B14,'Vendors &amp; Real Cost'!$M$6:$M$30))</f>
      </c>
      <c r="E14" s="59">
        <f>IF(B14="","",SUMIFS('Vendors &amp; Real Cost'!$N$6:$N$30,'Vendors &amp; Real Cost'!$C$6:$C$30,B14,'Vendors &amp; Real Cost'!$O$6:$O$30,"&lt;"&amp;TODAY())+SUMIFS('Vendors &amp; Real Cost'!$P$6:$P$30,'Vendors &amp; Real Cost'!$C$6:$C$30,B14,'Vendors &amp; Real Cost'!$R$6:$R$30,"Yes"))</f>
      </c>
      <c r="F14" s="59">
        <f>IF(B14="","",D14-E14)</f>
      </c>
      <c r="G14" s="59">
        <f>IF(B14="","",D14-C14)</f>
      </c>
      <c r="H14" s="88">
        <f>IF(OR(B14="",$D$20=0),"",D14/$D$20)</f>
      </c>
      <c r="I14" s="53"/>
      <c r="J14" s="1"/>
      <c r="K14" s="1"/>
      <c r="L14" s="1"/>
    </row>
    <row r="15" ht="19" customHeight="1" spans="1:12" x14ac:dyDescent="0.25">
      <c r="A15" s="1"/>
      <c r="B15" s="52" t="s">
        <v>108</v>
      </c>
      <c r="C15" s="54">
        <v>400</v>
      </c>
      <c r="D15" s="61">
        <f>IF(B15="","",SUMIF('Vendors &amp; Real Cost'!$C$6:$C$30,B15,'Vendors &amp; Real Cost'!$M$6:$M$30))</f>
      </c>
      <c r="E15" s="61">
        <f>IF(B15="","",SUMIFS('Vendors &amp; Real Cost'!$N$6:$N$30,'Vendors &amp; Real Cost'!$C$6:$C$30,B15,'Vendors &amp; Real Cost'!$O$6:$O$30,"&lt;"&amp;TODAY())+SUMIFS('Vendors &amp; Real Cost'!$P$6:$P$30,'Vendors &amp; Real Cost'!$C$6:$C$30,B15,'Vendors &amp; Real Cost'!$R$6:$R$30,"Yes"))</f>
      </c>
      <c r="F15" s="61">
        <f>IF(B15="","",D15-E15)</f>
      </c>
      <c r="G15" s="61">
        <f>IF(B15="","",D15-C15)</f>
      </c>
      <c r="H15" s="89">
        <f>IF(OR(B15="",$D$20=0),"",D15/$D$20)</f>
      </c>
      <c r="I15" s="53"/>
      <c r="J15" s="1"/>
      <c r="K15" s="1"/>
      <c r="L15" s="1"/>
    </row>
    <row r="16" ht="19" customHeight="1" spans="1:12" x14ac:dyDescent="0.25">
      <c r="A16" s="1"/>
      <c r="B16" s="52" t="s">
        <v>231</v>
      </c>
      <c r="C16" s="54">
        <v>700</v>
      </c>
      <c r="D16" s="59">
        <f>IF(B16="","",SUMIF('Vendors &amp; Real Cost'!$C$6:$C$30,B16,'Vendors &amp; Real Cost'!$M$6:$M$30))</f>
      </c>
      <c r="E16" s="59">
        <f>IF(B16="","",SUMIFS('Vendors &amp; Real Cost'!$N$6:$N$30,'Vendors &amp; Real Cost'!$C$6:$C$30,B16,'Vendors &amp; Real Cost'!$O$6:$O$30,"&lt;"&amp;TODAY())+SUMIFS('Vendors &amp; Real Cost'!$P$6:$P$30,'Vendors &amp; Real Cost'!$C$6:$C$30,B16,'Vendors &amp; Real Cost'!$R$6:$R$30,"Yes"))</f>
      </c>
      <c r="F16" s="59">
        <f>IF(B16="","",D16-E16)</f>
      </c>
      <c r="G16" s="59">
        <f>IF(B16="","",D16-C16)</f>
      </c>
      <c r="H16" s="88">
        <f>IF(OR(B16="",$D$20=0),"",D16/$D$20)</f>
      </c>
      <c r="I16" s="53"/>
      <c r="J16" s="1"/>
      <c r="K16" s="1"/>
      <c r="L16" s="1"/>
    </row>
    <row r="17" ht="19" customHeight="1" spans="1:12" x14ac:dyDescent="0.25">
      <c r="A17" s="1"/>
      <c r="B17" s="52" t="s">
        <v>232</v>
      </c>
      <c r="C17" s="54">
        <v>600</v>
      </c>
      <c r="D17" s="61">
        <f>IF(B17="","",SUMIF('Vendors &amp; Real Cost'!$C$6:$C$30,B17,'Vendors &amp; Real Cost'!$M$6:$M$30))</f>
      </c>
      <c r="E17" s="61">
        <f>IF(B17="","",SUMIFS('Vendors &amp; Real Cost'!$N$6:$N$30,'Vendors &amp; Real Cost'!$C$6:$C$30,B17,'Vendors &amp; Real Cost'!$O$6:$O$30,"&lt;"&amp;TODAY())+SUMIFS('Vendors &amp; Real Cost'!$P$6:$P$30,'Vendors &amp; Real Cost'!$C$6:$C$30,B17,'Vendors &amp; Real Cost'!$R$6:$R$30,"Yes"))</f>
      </c>
      <c r="F17" s="61">
        <f>IF(B17="","",D17-E17)</f>
      </c>
      <c r="G17" s="61">
        <f>IF(B17="","",D17-C17)</f>
      </c>
      <c r="H17" s="89">
        <f>IF(OR(B17="",$D$20=0),"",D17/$D$20)</f>
      </c>
      <c r="I17" s="53"/>
      <c r="J17" s="1"/>
      <c r="K17" s="1"/>
      <c r="L17" s="1"/>
    </row>
    <row r="18" ht="19" customHeight="1" spans="1:12" x14ac:dyDescent="0.25">
      <c r="A18" s="1"/>
      <c r="B18" s="52" t="s">
        <v>233</v>
      </c>
      <c r="C18" s="54">
        <v>2500</v>
      </c>
      <c r="D18" s="59">
        <f>IF(B18="","",SUMIF('Vendors &amp; Real Cost'!$C$6:$C$30,B18,'Vendors &amp; Real Cost'!$M$6:$M$30))</f>
      </c>
      <c r="E18" s="59">
        <f>IF(B18="","",SUMIFS('Vendors &amp; Real Cost'!$N$6:$N$30,'Vendors &amp; Real Cost'!$C$6:$C$30,B18,'Vendors &amp; Real Cost'!$O$6:$O$30,"&lt;"&amp;TODAY())+SUMIFS('Vendors &amp; Real Cost'!$P$6:$P$30,'Vendors &amp; Real Cost'!$C$6:$C$30,B18,'Vendors &amp; Real Cost'!$R$6:$R$30,"Yes"))</f>
      </c>
      <c r="F18" s="59">
        <f>IF(B18="","",D18-E18)</f>
      </c>
      <c r="G18" s="59">
        <f>IF(B18="","",D18-C18)</f>
      </c>
      <c r="H18" s="88">
        <f>IF(OR(B18="",$D$20=0),"",D18/$D$20)</f>
      </c>
      <c r="I18" s="53"/>
      <c r="J18" s="1"/>
      <c r="K18" s="1"/>
      <c r="L18" s="1"/>
    </row>
    <row r="19" ht="19" customHeight="1" spans="1:12" x14ac:dyDescent="0.25">
      <c r="A19" s="1"/>
      <c r="B19" s="52" t="s">
        <v>234</v>
      </c>
      <c r="C19" s="54">
        <v>700</v>
      </c>
      <c r="D19" s="61">
        <f>IF(B19="","",SUMIF('Vendors &amp; Real Cost'!$C$6:$C$30,B19,'Vendors &amp; Real Cost'!$M$6:$M$30))</f>
      </c>
      <c r="E19" s="61">
        <f>IF(B19="","",SUMIFS('Vendors &amp; Real Cost'!$N$6:$N$30,'Vendors &amp; Real Cost'!$C$6:$C$30,B19,'Vendors &amp; Real Cost'!$O$6:$O$30,"&lt;"&amp;TODAY())+SUMIFS('Vendors &amp; Real Cost'!$P$6:$P$30,'Vendors &amp; Real Cost'!$C$6:$C$30,B19,'Vendors &amp; Real Cost'!$R$6:$R$30,"Yes"))</f>
      </c>
      <c r="F19" s="61">
        <f>IF(B19="","",D19-E19)</f>
      </c>
      <c r="G19" s="61">
        <f>IF(B19="","",D19-C19)</f>
      </c>
      <c r="H19" s="89">
        <f>IF(OR(B19="",$D$20=0),"",D19/$D$20)</f>
      </c>
      <c r="I19" s="53"/>
      <c r="J19" s="1"/>
      <c r="K19" s="1"/>
      <c r="L19" s="1"/>
    </row>
    <row r="20" ht="24" customHeight="1" spans="1:12" x14ac:dyDescent="0.25">
      <c r="A20" s="1"/>
      <c r="B20" s="62" t="s">
        <v>113</v>
      </c>
      <c r="C20" s="64">
        <f>SUM(C6:C19)</f>
      </c>
      <c r="D20" s="64">
        <f>SUM(D6:D19)</f>
      </c>
      <c r="E20" s="64">
        <f>SUM(E6:E19)</f>
      </c>
      <c r="F20" s="64">
        <f>SUM(F6:F19)</f>
      </c>
      <c r="G20" s="64">
        <f>IF(D20=0,"",D20-C20)</f>
      </c>
      <c r="H20" s="86">
        <f>IF(D20=0,"",1)</f>
      </c>
      <c r="I20" s="63"/>
      <c r="J20" s="1"/>
      <c r="K20" s="1"/>
      <c r="L20" s="1"/>
    </row>
    <row r="21" spans="1:12" x14ac:dyDescent="0.25">
      <c r="A21" s="1"/>
      <c r="B21" s="1"/>
      <c r="C21" s="1"/>
      <c r="D21" s="1"/>
      <c r="E21" s="1"/>
      <c r="F21" s="1"/>
      <c r="G21" s="1"/>
      <c r="H21" s="1"/>
      <c r="I21" s="1"/>
      <c r="J21" s="1"/>
      <c r="K21" s="1"/>
      <c r="L21" s="1"/>
    </row>
    <row r="22" spans="1:12" x14ac:dyDescent="0.25">
      <c r="A22" s="1"/>
      <c r="B22" s="90">
        <f>"Overall budget on Setup: "&amp;Setup!$C$8&amp;TEXT(Setup!$C$9,"#,##0")&amp;"    ·    Category budgets: "&amp;Setup!$C$8&amp;TEXT(C20,"#,##0")&amp;"    ·    Real cost quoted: "&amp;Setup!$C$8&amp;TEXT(D20,"#,##0")</f>
      </c>
      <c r="C22" s="1"/>
      <c r="D22" s="1"/>
      <c r="E22" s="1"/>
      <c r="F22" s="1"/>
      <c r="G22" s="1"/>
      <c r="H22" s="1"/>
      <c r="I22" s="1"/>
      <c r="J22" s="1"/>
      <c r="K22" s="1"/>
      <c r="L22" s="1"/>
    </row>
    <row r="23" ht="18" customHeight="1" spans="1:12" x14ac:dyDescent="0.25">
      <c r="A23" s="1"/>
      <c r="B23" s="48" t="s">
        <v>235</v>
      </c>
      <c r="C23" s="48"/>
      <c r="D23" s="48"/>
      <c r="E23" s="48"/>
      <c r="F23" s="48"/>
      <c r="G23" s="48"/>
      <c r="H23" s="48"/>
      <c r="I23" s="48"/>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3:I23"/>
  </mergeCells>
  <conditionalFormatting sqref="G6:G19">
    <cfRule type="expression" dxfId="10" priority="1">
      <formula>G6&gt;0</formula>
    </cfRule>
  </conditionalFormatting>
  <conditionalFormatting sqref="G6:G19">
    <cfRule type="expression" dxfId="11" priority="1">
      <formula>AND(G6&lt;&gt;"",G6&lt;=0)</formula>
    </cfRule>
  </conditionalFormatting>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pageSetUpPr fitToPage="1"/>
  </sheetPr>
  <dimension ref="A1:R215"/>
  <sheetViews>
    <sheetView workbookViewId="0" showGridLines="0">
      <pane xSplit="3" ySplit="5" topLeftCell="D6" activePane="bottomRight" state="frozen"/>
      <selection pane="bottomRight"/>
    </sheetView>
  </sheetViews>
  <sheetFormatPr defaultRowHeight="15" outlineLevelRow="0" outlineLevelCol="0" x14ac:dyDescent="55"/>
  <cols>
    <col min="1" max="1" width="3" customWidth="1"/>
    <col min="2" max="2" width="5" customWidth="1"/>
    <col min="3" max="3" width="24" customWidth="1"/>
    <col min="4" max="4" width="18" customWidth="1"/>
    <col min="5" max="5" width="11" customWidth="1"/>
    <col min="6" max="6" width="15" customWidth="1"/>
    <col min="7" max="7" width="11" customWidth="1"/>
    <col min="8" max="9" width="10" customWidth="1"/>
    <col min="10" max="10" width="13" customWidth="1"/>
    <col min="11" max="11" width="8" customWidth="1"/>
    <col min="12" max="12" width="12" customWidth="1"/>
    <col min="13" max="13" width="13" customWidth="1"/>
    <col min="14" max="14" width="30" customWidth="1"/>
    <col min="15" max="15" width="22" customWidth="1"/>
    <col min="16" max="16" width="9" hidden="1" customWidth="1"/>
    <col min="17" max="17" width="9" hidden="1" customWidth="1"/>
    <col min="18" max="18" width="9" hidden="1" customWidth="1"/>
  </cols>
  <sheetData>
    <row r="1" ht="14" customHeight="1" spans="1:16" x14ac:dyDescent="0.25">
      <c r="A1" s="1"/>
      <c r="B1" s="1"/>
      <c r="C1" s="1"/>
      <c r="D1" s="1"/>
      <c r="E1" s="1"/>
      <c r="F1" s="1"/>
      <c r="G1" s="1"/>
      <c r="H1" s="1"/>
      <c r="I1" s="1"/>
      <c r="J1" s="1"/>
      <c r="K1" s="1"/>
      <c r="L1" s="1"/>
      <c r="M1" s="1"/>
      <c r="N1" s="1"/>
      <c r="O1" s="1"/>
      <c r="P1" s="1"/>
    </row>
    <row r="2" ht="38" customHeight="1" spans="1:16" x14ac:dyDescent="0.25">
      <c r="A2" s="1"/>
      <c r="B2" s="34" t="s">
        <v>236</v>
      </c>
      <c r="C2" s="34"/>
      <c r="D2" s="34"/>
      <c r="E2" s="34"/>
      <c r="F2" s="34"/>
      <c r="G2" s="34"/>
      <c r="H2" s="34"/>
      <c r="I2" s="34"/>
      <c r="J2" s="34"/>
      <c r="K2" s="34"/>
      <c r="L2" s="34"/>
      <c r="M2" s="34"/>
      <c r="N2" s="34"/>
      <c r="O2" s="34"/>
      <c r="P2" s="1"/>
    </row>
    <row r="3" ht="18" customHeight="1" spans="1:16" x14ac:dyDescent="0.25">
      <c r="A3" s="1"/>
      <c r="B3" s="35" t="s">
        <v>237</v>
      </c>
      <c r="C3" s="35"/>
      <c r="D3" s="35"/>
      <c r="E3" s="35"/>
      <c r="F3" s="35"/>
      <c r="G3" s="35"/>
      <c r="H3" s="35"/>
      <c r="I3" s="35"/>
      <c r="J3" s="35"/>
      <c r="K3" s="35"/>
      <c r="L3" s="35"/>
      <c r="M3" s="35"/>
      <c r="N3" s="35"/>
      <c r="O3" s="35"/>
      <c r="P3" s="1"/>
    </row>
    <row r="4" ht="10" customHeight="1" spans="1:16" x14ac:dyDescent="0.25">
      <c r="A4" s="1"/>
      <c r="B4" s="36"/>
      <c r="C4" s="36"/>
      <c r="D4" s="36"/>
      <c r="E4" s="36"/>
      <c r="F4" s="36"/>
      <c r="G4" s="36"/>
      <c r="H4" s="36"/>
      <c r="I4" s="36"/>
      <c r="J4" s="36"/>
      <c r="K4" s="36"/>
      <c r="L4" s="36"/>
      <c r="M4" s="36"/>
      <c r="N4" s="36"/>
      <c r="O4" s="36"/>
      <c r="P4" s="1"/>
    </row>
    <row r="5" ht="28" customHeight="1" spans="1:16" x14ac:dyDescent="0.25">
      <c r="A5" s="1"/>
      <c r="B5" s="51" t="s">
        <v>238</v>
      </c>
      <c r="C5" s="49" t="s">
        <v>239</v>
      </c>
      <c r="D5" s="49" t="s">
        <v>240</v>
      </c>
      <c r="E5" s="51" t="s">
        <v>241</v>
      </c>
      <c r="F5" s="51" t="s">
        <v>242</v>
      </c>
      <c r="G5" s="51" t="s">
        <v>243</v>
      </c>
      <c r="H5" s="51" t="s">
        <v>6</v>
      </c>
      <c r="I5" s="51" t="s">
        <v>244</v>
      </c>
      <c r="J5" s="51" t="s">
        <v>245</v>
      </c>
      <c r="K5" s="51" t="s">
        <v>246</v>
      </c>
      <c r="L5" s="51" t="s">
        <v>247</v>
      </c>
      <c r="M5" s="51" t="s">
        <v>248</v>
      </c>
      <c r="N5" s="49" t="s">
        <v>249</v>
      </c>
      <c r="O5" s="49" t="s">
        <v>91</v>
      </c>
      <c r="P5" s="1"/>
    </row>
    <row r="6" ht="19" customHeight="1" spans="1:18" x14ac:dyDescent="0.25">
      <c r="A6" s="1"/>
      <c r="B6" s="91">
        <f>IF(C6="","",ROW()-5)</f>
      </c>
      <c r="C6" s="53" t="s">
        <v>250</v>
      </c>
      <c r="D6" s="53" t="s">
        <v>70</v>
      </c>
      <c r="E6" s="56" t="s">
        <v>47</v>
      </c>
      <c r="F6" s="56" t="s">
        <v>251</v>
      </c>
      <c r="G6" s="56" t="s">
        <v>96</v>
      </c>
      <c r="H6" s="56" t="s">
        <v>96</v>
      </c>
      <c r="I6" s="56" t="s">
        <v>96</v>
      </c>
      <c r="J6" s="56" t="s">
        <v>252</v>
      </c>
      <c r="K6" s="56">
        <v>1</v>
      </c>
      <c r="L6" s="56" t="s">
        <v>96</v>
      </c>
      <c r="M6" s="56" t="s">
        <v>96</v>
      </c>
      <c r="N6" s="53"/>
      <c r="O6" s="53"/>
      <c r="P6" s="1">
        <f>IF(AND(H6="Yes",K6=""),ROW(),"")</f>
      </c>
      <c r="Q6">
        <f>IF(C6="","",1+IF(I6="Yes",1,0))</f>
      </c>
      <c r="R6">
        <f>IF(AND(C6&lt;&gt;"",F6&lt;&gt;"",F6&lt;&gt;"Guest"),ROW(),"")</f>
      </c>
    </row>
    <row r="7" ht="19" customHeight="1" spans="1:18" x14ac:dyDescent="0.25">
      <c r="A7" s="1"/>
      <c r="B7" s="92">
        <f>IF(C7="","",ROW()-5)</f>
      </c>
      <c r="C7" s="53" t="s">
        <v>253</v>
      </c>
      <c r="D7" s="53" t="s">
        <v>72</v>
      </c>
      <c r="E7" s="56" t="s">
        <v>47</v>
      </c>
      <c r="F7" s="56" t="s">
        <v>254</v>
      </c>
      <c r="G7" s="56" t="s">
        <v>96</v>
      </c>
      <c r="H7" s="56" t="s">
        <v>96</v>
      </c>
      <c r="I7" s="56" t="s">
        <v>93</v>
      </c>
      <c r="J7" s="56" t="s">
        <v>255</v>
      </c>
      <c r="K7" s="56">
        <v>3</v>
      </c>
      <c r="L7" s="56" t="s">
        <v>96</v>
      </c>
      <c r="M7" s="56" t="s">
        <v>93</v>
      </c>
      <c r="N7" s="53"/>
      <c r="O7" s="53"/>
      <c r="P7" s="1">
        <f>IF(AND(H7="Yes",K7=""),ROW(),"")</f>
      </c>
      <c r="Q7">
        <f>IF(C7="","",1+IF(I7="Yes",1,0))</f>
      </c>
      <c r="R7">
        <f>IF(AND(C7&lt;&gt;"",F7&lt;&gt;"",F7&lt;&gt;"Guest"),ROW(),"")</f>
      </c>
    </row>
    <row r="8" ht="19" customHeight="1" spans="1:18" x14ac:dyDescent="0.25">
      <c r="A8" s="1"/>
      <c r="B8" s="91">
        <f>IF(C8="","",ROW()-5)</f>
      </c>
      <c r="C8" s="53" t="s">
        <v>256</v>
      </c>
      <c r="D8" s="53" t="s">
        <v>71</v>
      </c>
      <c r="E8" s="56" t="s">
        <v>50</v>
      </c>
      <c r="F8" s="56" t="s">
        <v>251</v>
      </c>
      <c r="G8" s="56" t="s">
        <v>96</v>
      </c>
      <c r="H8" s="56" t="s">
        <v>96</v>
      </c>
      <c r="I8" s="56" t="s">
        <v>96</v>
      </c>
      <c r="J8" s="56" t="s">
        <v>252</v>
      </c>
      <c r="K8" s="56">
        <v>2</v>
      </c>
      <c r="L8" s="56" t="s">
        <v>93</v>
      </c>
      <c r="M8" s="56" t="s">
        <v>93</v>
      </c>
      <c r="N8" s="53"/>
      <c r="O8" s="53"/>
      <c r="P8" s="1">
        <f>IF(AND(H8="Yes",K8=""),ROW(),"")</f>
      </c>
      <c r="Q8">
        <f>IF(C8="","",1+IF(I8="Yes",1,0))</f>
      </c>
      <c r="R8">
        <f>IF(AND(C8&lt;&gt;"",F8&lt;&gt;"",F8&lt;&gt;"Guest"),ROW(),"")</f>
      </c>
    </row>
    <row r="9" ht="19" customHeight="1" spans="1:18" x14ac:dyDescent="0.25">
      <c r="A9" s="1"/>
      <c r="B9" s="92">
        <f>IF(C9="","",ROW()-5)</f>
      </c>
      <c r="C9" s="53" t="s">
        <v>257</v>
      </c>
      <c r="D9" s="53" t="s">
        <v>73</v>
      </c>
      <c r="E9" s="56" t="s">
        <v>50</v>
      </c>
      <c r="F9" s="56" t="s">
        <v>258</v>
      </c>
      <c r="G9" s="56" t="s">
        <v>96</v>
      </c>
      <c r="H9" s="56" t="s">
        <v>259</v>
      </c>
      <c r="I9" s="56" t="s">
        <v>93</v>
      </c>
      <c r="J9" s="56" t="s">
        <v>252</v>
      </c>
      <c r="K9" s="56"/>
      <c r="L9" s="56" t="s">
        <v>93</v>
      </c>
      <c r="M9" s="56" t="s">
        <v>93</v>
      </c>
      <c r="N9" s="53"/>
      <c r="O9" s="53"/>
      <c r="P9" s="1">
        <f>IF(AND(H9="Yes",K9=""),ROW(),"")</f>
      </c>
      <c r="Q9">
        <f>IF(C9="","",1+IF(I9="Yes",1,0))</f>
      </c>
      <c r="R9">
        <f>IF(AND(C9&lt;&gt;"",F9&lt;&gt;"",F9&lt;&gt;"Guest"),ROW(),"")</f>
      </c>
    </row>
    <row r="10" ht="19" customHeight="1" spans="1:18" x14ac:dyDescent="0.25">
      <c r="A10" s="1"/>
      <c r="B10" s="91">
        <f>IF(C10="","",ROW()-5)</f>
      </c>
      <c r="C10" s="53" t="s">
        <v>260</v>
      </c>
      <c r="D10" s="53" t="s">
        <v>72</v>
      </c>
      <c r="E10" s="56" t="s">
        <v>47</v>
      </c>
      <c r="F10" s="56" t="s">
        <v>261</v>
      </c>
      <c r="G10" s="56" t="s">
        <v>96</v>
      </c>
      <c r="H10" s="56" t="s">
        <v>96</v>
      </c>
      <c r="I10" s="56" t="s">
        <v>93</v>
      </c>
      <c r="J10" s="56" t="s">
        <v>252</v>
      </c>
      <c r="K10" s="56">
        <v>3</v>
      </c>
      <c r="L10" s="56" t="s">
        <v>93</v>
      </c>
      <c r="M10" s="56" t="s">
        <v>93</v>
      </c>
      <c r="N10" s="53"/>
      <c r="O10" s="53"/>
      <c r="P10" s="1">
        <f>IF(AND(H10="Yes",K10=""),ROW(),"")</f>
      </c>
      <c r="Q10">
        <f>IF(C10="","",1+IF(I10="Yes",1,0))</f>
      </c>
      <c r="R10">
        <f>IF(AND(C10&lt;&gt;"",F10&lt;&gt;"",F10&lt;&gt;"Guest"),ROW(),"")</f>
      </c>
    </row>
    <row r="11" ht="19" customHeight="1" spans="1:18" x14ac:dyDescent="0.25">
      <c r="A11" s="1"/>
      <c r="B11" s="92">
        <f>IF(C11="","",ROW()-5)</f>
      </c>
      <c r="C11" s="53" t="s">
        <v>262</v>
      </c>
      <c r="D11" s="53" t="s">
        <v>71</v>
      </c>
      <c r="E11" s="56" t="s">
        <v>50</v>
      </c>
      <c r="F11" s="56" t="s">
        <v>258</v>
      </c>
      <c r="G11" s="56" t="s">
        <v>96</v>
      </c>
      <c r="H11" s="56" t="s">
        <v>96</v>
      </c>
      <c r="I11" s="56" t="s">
        <v>93</v>
      </c>
      <c r="J11" s="56" t="s">
        <v>263</v>
      </c>
      <c r="K11" s="56">
        <v>2</v>
      </c>
      <c r="L11" s="56" t="s">
        <v>93</v>
      </c>
      <c r="M11" s="56" t="s">
        <v>93</v>
      </c>
      <c r="N11" s="53"/>
      <c r="O11" s="53"/>
      <c r="P11" s="1">
        <f>IF(AND(H11="Yes",K11=""),ROW(),"")</f>
      </c>
      <c r="Q11">
        <f>IF(C11="","",1+IF(I11="Yes",1,0))</f>
      </c>
      <c r="R11">
        <f>IF(AND(C11&lt;&gt;"",F11&lt;&gt;"",F11&lt;&gt;"Guest"),ROW(),"")</f>
      </c>
    </row>
    <row r="12" ht="19" customHeight="1" spans="1:18" x14ac:dyDescent="0.25">
      <c r="A12" s="1"/>
      <c r="B12" s="91">
        <f>IF(C12="","",ROW()-5)</f>
      </c>
      <c r="C12" s="53" t="s">
        <v>264</v>
      </c>
      <c r="D12" s="53" t="s">
        <v>72</v>
      </c>
      <c r="E12" s="56" t="s">
        <v>50</v>
      </c>
      <c r="F12" s="56" t="s">
        <v>265</v>
      </c>
      <c r="G12" s="56" t="s">
        <v>96</v>
      </c>
      <c r="H12" s="56" t="s">
        <v>96</v>
      </c>
      <c r="I12" s="56" t="s">
        <v>96</v>
      </c>
      <c r="J12" s="56" t="s">
        <v>252</v>
      </c>
      <c r="K12" s="56">
        <v>1</v>
      </c>
      <c r="L12" s="56" t="s">
        <v>93</v>
      </c>
      <c r="M12" s="56" t="s">
        <v>93</v>
      </c>
      <c r="N12" s="53"/>
      <c r="O12" s="53"/>
      <c r="P12" s="1">
        <f>IF(AND(H12="Yes",K12=""),ROW(),"")</f>
      </c>
      <c r="Q12">
        <f>IF(C12="","",1+IF(I12="Yes",1,0))</f>
      </c>
      <c r="R12">
        <f>IF(AND(C12&lt;&gt;"",F12&lt;&gt;"",F12&lt;&gt;"Guest"),ROW(),"")</f>
      </c>
    </row>
    <row r="13" ht="19" customHeight="1" spans="1:18" x14ac:dyDescent="0.25">
      <c r="A13" s="1"/>
      <c r="B13" s="92">
        <f>IF(C13="","",ROW()-5)</f>
      </c>
      <c r="C13" s="53" t="s">
        <v>266</v>
      </c>
      <c r="D13" s="53" t="s">
        <v>72</v>
      </c>
      <c r="E13" s="56" t="s">
        <v>50</v>
      </c>
      <c r="F13" s="56" t="s">
        <v>258</v>
      </c>
      <c r="G13" s="56" t="s">
        <v>96</v>
      </c>
      <c r="H13" s="56" t="s">
        <v>96</v>
      </c>
      <c r="I13" s="56" t="s">
        <v>93</v>
      </c>
      <c r="J13" s="56" t="s">
        <v>252</v>
      </c>
      <c r="K13" s="56">
        <v>1</v>
      </c>
      <c r="L13" s="56" t="s">
        <v>93</v>
      </c>
      <c r="M13" s="56" t="s">
        <v>93</v>
      </c>
      <c r="N13" s="53"/>
      <c r="O13" s="53"/>
      <c r="P13" s="1">
        <f>IF(AND(H13="Yes",K13=""),ROW(),"")</f>
      </c>
      <c r="Q13">
        <f>IF(C13="","",1+IF(I13="Yes",1,0))</f>
      </c>
      <c r="R13">
        <f>IF(AND(C13&lt;&gt;"",F13&lt;&gt;"",F13&lt;&gt;"Guest"),ROW(),"")</f>
      </c>
    </row>
    <row r="14" ht="19" customHeight="1" spans="1:18" x14ac:dyDescent="0.25">
      <c r="A14" s="1"/>
      <c r="B14" s="91">
        <f>IF(C14="","",ROW()-5)</f>
      </c>
      <c r="C14" s="53" t="s">
        <v>267</v>
      </c>
      <c r="D14" s="53" t="s">
        <v>73</v>
      </c>
      <c r="E14" s="56" t="s">
        <v>47</v>
      </c>
      <c r="F14" s="56" t="s">
        <v>258</v>
      </c>
      <c r="G14" s="56" t="s">
        <v>96</v>
      </c>
      <c r="H14" s="56" t="s">
        <v>259</v>
      </c>
      <c r="I14" s="56" t="s">
        <v>93</v>
      </c>
      <c r="J14" s="56"/>
      <c r="K14" s="56"/>
      <c r="L14" s="56" t="s">
        <v>93</v>
      </c>
      <c r="M14" s="56" t="s">
        <v>93</v>
      </c>
      <c r="N14" s="53"/>
      <c r="O14" s="53"/>
      <c r="P14" s="1">
        <f>IF(AND(H14="Yes",K14=""),ROW(),"")</f>
      </c>
      <c r="Q14">
        <f>IF(C14="","",1+IF(I14="Yes",1,0))</f>
      </c>
      <c r="R14">
        <f>IF(AND(C14&lt;&gt;"",F14&lt;&gt;"",F14&lt;&gt;"Guest"),ROW(),"")</f>
      </c>
    </row>
    <row r="15" ht="19" customHeight="1" spans="1:18" x14ac:dyDescent="0.25">
      <c r="A15" s="1"/>
      <c r="B15" s="92">
        <f>IF(C15="","",ROW()-5)</f>
      </c>
      <c r="C15" s="53" t="s">
        <v>268</v>
      </c>
      <c r="D15" s="53" t="s">
        <v>70</v>
      </c>
      <c r="E15" s="56" t="s">
        <v>47</v>
      </c>
      <c r="F15" s="56" t="s">
        <v>269</v>
      </c>
      <c r="G15" s="56" t="s">
        <v>96</v>
      </c>
      <c r="H15" s="56" t="s">
        <v>96</v>
      </c>
      <c r="I15" s="56" t="s">
        <v>93</v>
      </c>
      <c r="J15" s="56" t="s">
        <v>252</v>
      </c>
      <c r="K15" s="56">
        <v>1</v>
      </c>
      <c r="L15" s="56" t="s">
        <v>93</v>
      </c>
      <c r="M15" s="56" t="s">
        <v>93</v>
      </c>
      <c r="N15" s="53"/>
      <c r="O15" s="53"/>
      <c r="P15" s="1">
        <f>IF(AND(H15="Yes",K15=""),ROW(),"")</f>
      </c>
      <c r="Q15">
        <f>IF(C15="","",1+IF(I15="Yes",1,0))</f>
      </c>
      <c r="R15">
        <f>IF(AND(C15&lt;&gt;"",F15&lt;&gt;"",F15&lt;&gt;"Guest"),ROW(),"")</f>
      </c>
    </row>
    <row r="16" ht="19" customHeight="1" spans="1:18" x14ac:dyDescent="0.25">
      <c r="A16" s="1"/>
      <c r="B16" s="91">
        <f>IF(C16="","",ROW()-5)</f>
      </c>
      <c r="C16" s="53" t="s">
        <v>270</v>
      </c>
      <c r="D16" s="53" t="s">
        <v>72</v>
      </c>
      <c r="E16" s="56" t="s">
        <v>50</v>
      </c>
      <c r="F16" s="56" t="s">
        <v>271</v>
      </c>
      <c r="G16" s="56" t="s">
        <v>93</v>
      </c>
      <c r="H16" s="56" t="s">
        <v>259</v>
      </c>
      <c r="I16" s="56" t="s">
        <v>96</v>
      </c>
      <c r="J16" s="56"/>
      <c r="K16" s="56"/>
      <c r="L16" s="56" t="s">
        <v>93</v>
      </c>
      <c r="M16" s="56" t="s">
        <v>93</v>
      </c>
      <c r="N16" s="53"/>
      <c r="O16" s="53"/>
      <c r="P16" s="1">
        <f>IF(AND(H16="Yes",K16=""),ROW(),"")</f>
      </c>
      <c r="Q16">
        <f>IF(C16="","",1+IF(I16="Yes",1,0))</f>
      </c>
      <c r="R16">
        <f>IF(AND(C16&lt;&gt;"",F16&lt;&gt;"",F16&lt;&gt;"Guest"),ROW(),"")</f>
      </c>
    </row>
    <row r="17" ht="19" customHeight="1" spans="1:18" x14ac:dyDescent="0.25">
      <c r="A17" s="1"/>
      <c r="B17" s="92">
        <f>IF(C17="","",ROW()-5)</f>
      </c>
      <c r="C17" s="53" t="s">
        <v>272</v>
      </c>
      <c r="D17" s="53" t="s">
        <v>72</v>
      </c>
      <c r="E17" s="56" t="s">
        <v>47</v>
      </c>
      <c r="F17" s="56" t="s">
        <v>261</v>
      </c>
      <c r="G17" s="56" t="s">
        <v>96</v>
      </c>
      <c r="H17" s="56" t="s">
        <v>96</v>
      </c>
      <c r="I17" s="56" t="s">
        <v>96</v>
      </c>
      <c r="J17" s="56" t="s">
        <v>252</v>
      </c>
      <c r="K17" s="56">
        <v>3</v>
      </c>
      <c r="L17" s="56" t="s">
        <v>93</v>
      </c>
      <c r="M17" s="56" t="s">
        <v>93</v>
      </c>
      <c r="N17" s="53"/>
      <c r="O17" s="53"/>
      <c r="P17" s="1">
        <f>IF(AND(H17="Yes",K17=""),ROW(),"")</f>
      </c>
      <c r="Q17">
        <f>IF(C17="","",1+IF(I17="Yes",1,0))</f>
      </c>
      <c r="R17">
        <f>IF(AND(C17&lt;&gt;"",F17&lt;&gt;"",F17&lt;&gt;"Guest"),ROW(),"")</f>
      </c>
    </row>
    <row r="18" ht="19" customHeight="1" spans="1:18" x14ac:dyDescent="0.25">
      <c r="A18" s="1"/>
      <c r="B18" s="91">
        <f>IF(C18="","",ROW()-5)</f>
      </c>
      <c r="C18" s="53" t="s">
        <v>273</v>
      </c>
      <c r="D18" s="53" t="s">
        <v>72</v>
      </c>
      <c r="E18" s="56" t="s">
        <v>47</v>
      </c>
      <c r="F18" s="56" t="s">
        <v>258</v>
      </c>
      <c r="G18" s="56" t="s">
        <v>96</v>
      </c>
      <c r="H18" s="56" t="s">
        <v>96</v>
      </c>
      <c r="I18" s="56" t="s">
        <v>93</v>
      </c>
      <c r="J18" s="56" t="s">
        <v>252</v>
      </c>
      <c r="K18" s="56">
        <v>3</v>
      </c>
      <c r="L18" s="56" t="s">
        <v>93</v>
      </c>
      <c r="M18" s="56" t="s">
        <v>93</v>
      </c>
      <c r="N18" s="53"/>
      <c r="O18" s="53"/>
      <c r="P18" s="1">
        <f>IF(AND(H18="Yes",K18=""),ROW(),"")</f>
      </c>
      <c r="Q18">
        <f>IF(C18="","",1+IF(I18="Yes",1,0))</f>
      </c>
      <c r="R18">
        <f>IF(AND(C18&lt;&gt;"",F18&lt;&gt;"",F18&lt;&gt;"Guest"),ROW(),"")</f>
      </c>
    </row>
    <row r="19" ht="19" customHeight="1" spans="1:18" x14ac:dyDescent="0.25">
      <c r="A19" s="1"/>
      <c r="B19" s="92">
        <f>IF(C19="","",ROW()-5)</f>
      </c>
      <c r="C19" s="53" t="s">
        <v>274</v>
      </c>
      <c r="D19" s="53" t="s">
        <v>70</v>
      </c>
      <c r="E19" s="56" t="s">
        <v>47</v>
      </c>
      <c r="F19" s="56" t="s">
        <v>258</v>
      </c>
      <c r="G19" s="56" t="s">
        <v>96</v>
      </c>
      <c r="H19" s="56" t="s">
        <v>96</v>
      </c>
      <c r="I19" s="56" t="s">
        <v>96</v>
      </c>
      <c r="J19" s="56" t="s">
        <v>255</v>
      </c>
      <c r="K19" s="56"/>
      <c r="L19" s="56" t="s">
        <v>93</v>
      </c>
      <c r="M19" s="56" t="s">
        <v>93</v>
      </c>
      <c r="N19" s="53"/>
      <c r="O19" s="53"/>
      <c r="P19" s="1">
        <f>IF(AND(H19="Yes",K19=""),ROW(),"")</f>
      </c>
      <c r="Q19">
        <f>IF(C19="","",1+IF(I19="Yes",1,0))</f>
      </c>
      <c r="R19">
        <f>IF(AND(C19&lt;&gt;"",F19&lt;&gt;"",F19&lt;&gt;"Guest"),ROW(),"")</f>
      </c>
    </row>
    <row r="20" ht="19" customHeight="1" spans="1:18" x14ac:dyDescent="0.25">
      <c r="A20" s="1"/>
      <c r="B20" s="91">
        <f>IF(C20="","",ROW()-5)</f>
      </c>
      <c r="C20" s="53" t="s">
        <v>107</v>
      </c>
      <c r="D20" s="53" t="s">
        <v>74</v>
      </c>
      <c r="E20" s="56" t="s">
        <v>47</v>
      </c>
      <c r="F20" s="56" t="s">
        <v>108</v>
      </c>
      <c r="G20" s="56" t="s">
        <v>96</v>
      </c>
      <c r="H20" s="56" t="s">
        <v>96</v>
      </c>
      <c r="I20" s="56" t="s">
        <v>93</v>
      </c>
      <c r="J20" s="56" t="s">
        <v>252</v>
      </c>
      <c r="K20" s="56">
        <v>2</v>
      </c>
      <c r="L20" s="56" t="s">
        <v>93</v>
      </c>
      <c r="M20" s="56" t="s">
        <v>93</v>
      </c>
      <c r="N20" s="53"/>
      <c r="O20" s="53"/>
      <c r="P20" s="1">
        <f>IF(AND(H20="Yes",K20=""),ROW(),"")</f>
      </c>
      <c r="Q20">
        <f>IF(C20="","",1+IF(I20="Yes",1,0))</f>
      </c>
      <c r="R20">
        <f>IF(AND(C20&lt;&gt;"",F20&lt;&gt;"",F20&lt;&gt;"Guest"),ROW(),"")</f>
      </c>
    </row>
    <row r="21" ht="19" customHeight="1" spans="1:18" x14ac:dyDescent="0.25">
      <c r="A21" s="1"/>
      <c r="B21" s="92">
        <f>IF(C21="","",ROW()-5)</f>
      </c>
      <c r="C21" s="53"/>
      <c r="D21" s="53"/>
      <c r="E21" s="56"/>
      <c r="F21" s="56"/>
      <c r="G21" s="56"/>
      <c r="H21" s="56"/>
      <c r="I21" s="56"/>
      <c r="J21" s="56"/>
      <c r="K21" s="56"/>
      <c r="L21" s="56"/>
      <c r="M21" s="56"/>
      <c r="N21" s="53"/>
      <c r="O21" s="53"/>
      <c r="P21" s="1">
        <f>IF(AND(H21="Yes",K21=""),ROW(),"")</f>
      </c>
      <c r="Q21">
        <f>IF(C21="","",1+IF(I21="Yes",1,0))</f>
      </c>
      <c r="R21">
        <f>IF(AND(C21&lt;&gt;"",F21&lt;&gt;"",F21&lt;&gt;"Guest"),ROW(),"")</f>
      </c>
    </row>
    <row r="22" ht="19" customHeight="1" spans="1:18" x14ac:dyDescent="0.25">
      <c r="A22" s="1"/>
      <c r="B22" s="91">
        <f>IF(C22="","",ROW()-5)</f>
      </c>
      <c r="C22" s="53"/>
      <c r="D22" s="53"/>
      <c r="E22" s="56"/>
      <c r="F22" s="56"/>
      <c r="G22" s="56"/>
      <c r="H22" s="56"/>
      <c r="I22" s="56"/>
      <c r="J22" s="56"/>
      <c r="K22" s="56"/>
      <c r="L22" s="56"/>
      <c r="M22" s="56"/>
      <c r="N22" s="53"/>
      <c r="O22" s="53"/>
      <c r="P22" s="1">
        <f>IF(AND(H22="Yes",K22=""),ROW(),"")</f>
      </c>
      <c r="Q22">
        <f>IF(C22="","",1+IF(I22="Yes",1,0))</f>
      </c>
      <c r="R22">
        <f>IF(AND(C22&lt;&gt;"",F22&lt;&gt;"",F22&lt;&gt;"Guest"),ROW(),"")</f>
      </c>
    </row>
    <row r="23" ht="19" customHeight="1" spans="1:18" x14ac:dyDescent="0.25">
      <c r="A23" s="1"/>
      <c r="B23" s="92">
        <f>IF(C23="","",ROW()-5)</f>
      </c>
      <c r="C23" s="53"/>
      <c r="D23" s="53"/>
      <c r="E23" s="56"/>
      <c r="F23" s="56"/>
      <c r="G23" s="56"/>
      <c r="H23" s="56"/>
      <c r="I23" s="56"/>
      <c r="J23" s="56"/>
      <c r="K23" s="56"/>
      <c r="L23" s="56"/>
      <c r="M23" s="56"/>
      <c r="N23" s="53"/>
      <c r="O23" s="53"/>
      <c r="P23" s="1">
        <f>IF(AND(H23="Yes",K23=""),ROW(),"")</f>
      </c>
      <c r="Q23">
        <f>IF(C23="","",1+IF(I23="Yes",1,0))</f>
      </c>
      <c r="R23">
        <f>IF(AND(C23&lt;&gt;"",F23&lt;&gt;"",F23&lt;&gt;"Guest"),ROW(),"")</f>
      </c>
    </row>
    <row r="24" ht="19" customHeight="1" spans="1:18" x14ac:dyDescent="0.25">
      <c r="A24" s="1"/>
      <c r="B24" s="91">
        <f>IF(C24="","",ROW()-5)</f>
      </c>
      <c r="C24" s="53"/>
      <c r="D24" s="53"/>
      <c r="E24" s="56"/>
      <c r="F24" s="56"/>
      <c r="G24" s="56"/>
      <c r="H24" s="56"/>
      <c r="I24" s="56"/>
      <c r="J24" s="56"/>
      <c r="K24" s="56"/>
      <c r="L24" s="56"/>
      <c r="M24" s="56"/>
      <c r="N24" s="53"/>
      <c r="O24" s="53"/>
      <c r="P24" s="1">
        <f>IF(AND(H24="Yes",K24=""),ROW(),"")</f>
      </c>
      <c r="Q24">
        <f>IF(C24="","",1+IF(I24="Yes",1,0))</f>
      </c>
      <c r="R24">
        <f>IF(AND(C24&lt;&gt;"",F24&lt;&gt;"",F24&lt;&gt;"Guest"),ROW(),"")</f>
      </c>
    </row>
    <row r="25" ht="19" customHeight="1" spans="1:18" x14ac:dyDescent="0.25">
      <c r="A25" s="1"/>
      <c r="B25" s="92">
        <f>IF(C25="","",ROW()-5)</f>
      </c>
      <c r="C25" s="53"/>
      <c r="D25" s="53"/>
      <c r="E25" s="56"/>
      <c r="F25" s="56"/>
      <c r="G25" s="56"/>
      <c r="H25" s="56"/>
      <c r="I25" s="56"/>
      <c r="J25" s="56"/>
      <c r="K25" s="56"/>
      <c r="L25" s="56"/>
      <c r="M25" s="56"/>
      <c r="N25" s="53"/>
      <c r="O25" s="53"/>
      <c r="P25" s="1">
        <f>IF(AND(H25="Yes",K25=""),ROW(),"")</f>
      </c>
      <c r="Q25">
        <f>IF(C25="","",1+IF(I25="Yes",1,0))</f>
      </c>
      <c r="R25">
        <f>IF(AND(C25&lt;&gt;"",F25&lt;&gt;"",F25&lt;&gt;"Guest"),ROW(),"")</f>
      </c>
    </row>
    <row r="26" ht="19" customHeight="1" spans="1:18" x14ac:dyDescent="0.25">
      <c r="A26" s="1"/>
      <c r="B26" s="91">
        <f>IF(C26="","",ROW()-5)</f>
      </c>
      <c r="C26" s="53"/>
      <c r="D26" s="53"/>
      <c r="E26" s="56"/>
      <c r="F26" s="56"/>
      <c r="G26" s="56"/>
      <c r="H26" s="56"/>
      <c r="I26" s="56"/>
      <c r="J26" s="56"/>
      <c r="K26" s="56"/>
      <c r="L26" s="56"/>
      <c r="M26" s="56"/>
      <c r="N26" s="53"/>
      <c r="O26" s="53"/>
      <c r="P26" s="1">
        <f>IF(AND(H26="Yes",K26=""),ROW(),"")</f>
      </c>
      <c r="Q26">
        <f>IF(C26="","",1+IF(I26="Yes",1,0))</f>
      </c>
      <c r="R26">
        <f>IF(AND(C26&lt;&gt;"",F26&lt;&gt;"",F26&lt;&gt;"Guest"),ROW(),"")</f>
      </c>
    </row>
    <row r="27" ht="19" customHeight="1" spans="1:18" x14ac:dyDescent="0.25">
      <c r="A27" s="1"/>
      <c r="B27" s="92">
        <f>IF(C27="","",ROW()-5)</f>
      </c>
      <c r="C27" s="53"/>
      <c r="D27" s="53"/>
      <c r="E27" s="56"/>
      <c r="F27" s="56"/>
      <c r="G27" s="56"/>
      <c r="H27" s="56"/>
      <c r="I27" s="56"/>
      <c r="J27" s="56"/>
      <c r="K27" s="56"/>
      <c r="L27" s="56"/>
      <c r="M27" s="56"/>
      <c r="N27" s="53"/>
      <c r="O27" s="53"/>
      <c r="P27" s="1">
        <f>IF(AND(H27="Yes",K27=""),ROW(),"")</f>
      </c>
      <c r="Q27">
        <f>IF(C27="","",1+IF(I27="Yes",1,0))</f>
      </c>
      <c r="R27">
        <f>IF(AND(C27&lt;&gt;"",F27&lt;&gt;"",F27&lt;&gt;"Guest"),ROW(),"")</f>
      </c>
    </row>
    <row r="28" ht="19" customHeight="1" spans="1:18" x14ac:dyDescent="0.25">
      <c r="A28" s="1"/>
      <c r="B28" s="91">
        <f>IF(C28="","",ROW()-5)</f>
      </c>
      <c r="C28" s="53"/>
      <c r="D28" s="53"/>
      <c r="E28" s="56"/>
      <c r="F28" s="56"/>
      <c r="G28" s="56"/>
      <c r="H28" s="56"/>
      <c r="I28" s="56"/>
      <c r="J28" s="56"/>
      <c r="K28" s="56"/>
      <c r="L28" s="56"/>
      <c r="M28" s="56"/>
      <c r="N28" s="53"/>
      <c r="O28" s="53"/>
      <c r="P28" s="1">
        <f>IF(AND(H28="Yes",K28=""),ROW(),"")</f>
      </c>
      <c r="Q28">
        <f>IF(C28="","",1+IF(I28="Yes",1,0))</f>
      </c>
      <c r="R28">
        <f>IF(AND(C28&lt;&gt;"",F28&lt;&gt;"",F28&lt;&gt;"Guest"),ROW(),"")</f>
      </c>
    </row>
    <row r="29" ht="19" customHeight="1" spans="1:18" x14ac:dyDescent="0.25">
      <c r="A29" s="1"/>
      <c r="B29" s="92">
        <f>IF(C29="","",ROW()-5)</f>
      </c>
      <c r="C29" s="53"/>
      <c r="D29" s="53"/>
      <c r="E29" s="56"/>
      <c r="F29" s="56"/>
      <c r="G29" s="56"/>
      <c r="H29" s="56"/>
      <c r="I29" s="56"/>
      <c r="J29" s="56"/>
      <c r="K29" s="56"/>
      <c r="L29" s="56"/>
      <c r="M29" s="56"/>
      <c r="N29" s="53"/>
      <c r="O29" s="53"/>
      <c r="P29" s="1">
        <f>IF(AND(H29="Yes",K29=""),ROW(),"")</f>
      </c>
      <c r="Q29">
        <f>IF(C29="","",1+IF(I29="Yes",1,0))</f>
      </c>
      <c r="R29">
        <f>IF(AND(C29&lt;&gt;"",F29&lt;&gt;"",F29&lt;&gt;"Guest"),ROW(),"")</f>
      </c>
    </row>
    <row r="30" ht="19" customHeight="1" spans="1:18" x14ac:dyDescent="0.25">
      <c r="A30" s="1"/>
      <c r="B30" s="91">
        <f>IF(C30="","",ROW()-5)</f>
      </c>
      <c r="C30" s="53"/>
      <c r="D30" s="53"/>
      <c r="E30" s="56"/>
      <c r="F30" s="56"/>
      <c r="G30" s="56"/>
      <c r="H30" s="56"/>
      <c r="I30" s="56"/>
      <c r="J30" s="56"/>
      <c r="K30" s="56"/>
      <c r="L30" s="56"/>
      <c r="M30" s="56"/>
      <c r="N30" s="53"/>
      <c r="O30" s="53"/>
      <c r="P30" s="1">
        <f>IF(AND(H30="Yes",K30=""),ROW(),"")</f>
      </c>
      <c r="Q30">
        <f>IF(C30="","",1+IF(I30="Yes",1,0))</f>
      </c>
      <c r="R30">
        <f>IF(AND(C30&lt;&gt;"",F30&lt;&gt;"",F30&lt;&gt;"Guest"),ROW(),"")</f>
      </c>
    </row>
    <row r="31" ht="19" customHeight="1" spans="1:18" x14ac:dyDescent="0.25">
      <c r="A31" s="1"/>
      <c r="B31" s="92">
        <f>IF(C31="","",ROW()-5)</f>
      </c>
      <c r="C31" s="53"/>
      <c r="D31" s="53"/>
      <c r="E31" s="56"/>
      <c r="F31" s="56"/>
      <c r="G31" s="56"/>
      <c r="H31" s="56"/>
      <c r="I31" s="56"/>
      <c r="J31" s="56"/>
      <c r="K31" s="56"/>
      <c r="L31" s="56"/>
      <c r="M31" s="56"/>
      <c r="N31" s="53"/>
      <c r="O31" s="53"/>
      <c r="P31" s="1">
        <f>IF(AND(H31="Yes",K31=""),ROW(),"")</f>
      </c>
      <c r="Q31">
        <f>IF(C31="","",1+IF(I31="Yes",1,0))</f>
      </c>
      <c r="R31">
        <f>IF(AND(C31&lt;&gt;"",F31&lt;&gt;"",F31&lt;&gt;"Guest"),ROW(),"")</f>
      </c>
    </row>
    <row r="32" ht="19" customHeight="1" spans="1:18" x14ac:dyDescent="0.25">
      <c r="A32" s="1"/>
      <c r="B32" s="91">
        <f>IF(C32="","",ROW()-5)</f>
      </c>
      <c r="C32" s="53"/>
      <c r="D32" s="53"/>
      <c r="E32" s="56"/>
      <c r="F32" s="56"/>
      <c r="G32" s="56"/>
      <c r="H32" s="56"/>
      <c r="I32" s="56"/>
      <c r="J32" s="56"/>
      <c r="K32" s="56"/>
      <c r="L32" s="56"/>
      <c r="M32" s="56"/>
      <c r="N32" s="53"/>
      <c r="O32" s="53"/>
      <c r="P32" s="1">
        <f>IF(AND(H32="Yes",K32=""),ROW(),"")</f>
      </c>
      <c r="Q32">
        <f>IF(C32="","",1+IF(I32="Yes",1,0))</f>
      </c>
      <c r="R32">
        <f>IF(AND(C32&lt;&gt;"",F32&lt;&gt;"",F32&lt;&gt;"Guest"),ROW(),"")</f>
      </c>
    </row>
    <row r="33" ht="19" customHeight="1" spans="1:18" x14ac:dyDescent="0.25">
      <c r="A33" s="1"/>
      <c r="B33" s="92">
        <f>IF(C33="","",ROW()-5)</f>
      </c>
      <c r="C33" s="53"/>
      <c r="D33" s="53"/>
      <c r="E33" s="56"/>
      <c r="F33" s="56"/>
      <c r="G33" s="56"/>
      <c r="H33" s="56"/>
      <c r="I33" s="56"/>
      <c r="J33" s="56"/>
      <c r="K33" s="56"/>
      <c r="L33" s="56"/>
      <c r="M33" s="56"/>
      <c r="N33" s="53"/>
      <c r="O33" s="53"/>
      <c r="P33" s="1">
        <f>IF(AND(H33="Yes",K33=""),ROW(),"")</f>
      </c>
      <c r="Q33">
        <f>IF(C33="","",1+IF(I33="Yes",1,0))</f>
      </c>
      <c r="R33">
        <f>IF(AND(C33&lt;&gt;"",F33&lt;&gt;"",F33&lt;&gt;"Guest"),ROW(),"")</f>
      </c>
    </row>
    <row r="34" ht="19" customHeight="1" spans="1:18" x14ac:dyDescent="0.25">
      <c r="A34" s="1"/>
      <c r="B34" s="91">
        <f>IF(C34="","",ROW()-5)</f>
      </c>
      <c r="C34" s="53"/>
      <c r="D34" s="53"/>
      <c r="E34" s="56"/>
      <c r="F34" s="56"/>
      <c r="G34" s="56"/>
      <c r="H34" s="56"/>
      <c r="I34" s="56"/>
      <c r="J34" s="56"/>
      <c r="K34" s="56"/>
      <c r="L34" s="56"/>
      <c r="M34" s="56"/>
      <c r="N34" s="53"/>
      <c r="O34" s="53"/>
      <c r="P34" s="1">
        <f>IF(AND(H34="Yes",K34=""),ROW(),"")</f>
      </c>
      <c r="Q34">
        <f>IF(C34="","",1+IF(I34="Yes",1,0))</f>
      </c>
      <c r="R34">
        <f>IF(AND(C34&lt;&gt;"",F34&lt;&gt;"",F34&lt;&gt;"Guest"),ROW(),"")</f>
      </c>
    </row>
    <row r="35" ht="19" customHeight="1" spans="1:18" x14ac:dyDescent="0.25">
      <c r="A35" s="1"/>
      <c r="B35" s="92">
        <f>IF(C35="","",ROW()-5)</f>
      </c>
      <c r="C35" s="53"/>
      <c r="D35" s="53"/>
      <c r="E35" s="56"/>
      <c r="F35" s="56"/>
      <c r="G35" s="56"/>
      <c r="H35" s="56"/>
      <c r="I35" s="56"/>
      <c r="J35" s="56"/>
      <c r="K35" s="56"/>
      <c r="L35" s="56"/>
      <c r="M35" s="56"/>
      <c r="N35" s="53"/>
      <c r="O35" s="53"/>
      <c r="P35" s="1">
        <f>IF(AND(H35="Yes",K35=""),ROW(),"")</f>
      </c>
      <c r="Q35">
        <f>IF(C35="","",1+IF(I35="Yes",1,0))</f>
      </c>
      <c r="R35">
        <f>IF(AND(C35&lt;&gt;"",F35&lt;&gt;"",F35&lt;&gt;"Guest"),ROW(),"")</f>
      </c>
    </row>
    <row r="36" ht="19" customHeight="1" spans="1:18" x14ac:dyDescent="0.25">
      <c r="A36" s="1"/>
      <c r="B36" s="91">
        <f>IF(C36="","",ROW()-5)</f>
      </c>
      <c r="C36" s="53"/>
      <c r="D36" s="53"/>
      <c r="E36" s="56"/>
      <c r="F36" s="56"/>
      <c r="G36" s="56"/>
      <c r="H36" s="56"/>
      <c r="I36" s="56"/>
      <c r="J36" s="56"/>
      <c r="K36" s="56"/>
      <c r="L36" s="56"/>
      <c r="M36" s="56"/>
      <c r="N36" s="53"/>
      <c r="O36" s="53"/>
      <c r="P36" s="1">
        <f>IF(AND(H36="Yes",K36=""),ROW(),"")</f>
      </c>
      <c r="Q36">
        <f>IF(C36="","",1+IF(I36="Yes",1,0))</f>
      </c>
      <c r="R36">
        <f>IF(AND(C36&lt;&gt;"",F36&lt;&gt;"",F36&lt;&gt;"Guest"),ROW(),"")</f>
      </c>
    </row>
    <row r="37" ht="19" customHeight="1" spans="1:18" x14ac:dyDescent="0.25">
      <c r="A37" s="1"/>
      <c r="B37" s="92">
        <f>IF(C37="","",ROW()-5)</f>
      </c>
      <c r="C37" s="53"/>
      <c r="D37" s="53"/>
      <c r="E37" s="56"/>
      <c r="F37" s="56"/>
      <c r="G37" s="56"/>
      <c r="H37" s="56"/>
      <c r="I37" s="56"/>
      <c r="J37" s="56"/>
      <c r="K37" s="56"/>
      <c r="L37" s="56"/>
      <c r="M37" s="56"/>
      <c r="N37" s="53"/>
      <c r="O37" s="53"/>
      <c r="P37" s="1">
        <f>IF(AND(H37="Yes",K37=""),ROW(),"")</f>
      </c>
      <c r="Q37">
        <f>IF(C37="","",1+IF(I37="Yes",1,0))</f>
      </c>
      <c r="R37">
        <f>IF(AND(C37&lt;&gt;"",F37&lt;&gt;"",F37&lt;&gt;"Guest"),ROW(),"")</f>
      </c>
    </row>
    <row r="38" ht="19" customHeight="1" spans="1:18" x14ac:dyDescent="0.25">
      <c r="A38" s="1"/>
      <c r="B38" s="91">
        <f>IF(C38="","",ROW()-5)</f>
      </c>
      <c r="C38" s="53"/>
      <c r="D38" s="53"/>
      <c r="E38" s="56"/>
      <c r="F38" s="56"/>
      <c r="G38" s="56"/>
      <c r="H38" s="56"/>
      <c r="I38" s="56"/>
      <c r="J38" s="56"/>
      <c r="K38" s="56"/>
      <c r="L38" s="56"/>
      <c r="M38" s="56"/>
      <c r="N38" s="53"/>
      <c r="O38" s="53"/>
      <c r="P38" s="1">
        <f>IF(AND(H38="Yes",K38=""),ROW(),"")</f>
      </c>
      <c r="Q38">
        <f>IF(C38="","",1+IF(I38="Yes",1,0))</f>
      </c>
      <c r="R38">
        <f>IF(AND(C38&lt;&gt;"",F38&lt;&gt;"",F38&lt;&gt;"Guest"),ROW(),"")</f>
      </c>
    </row>
    <row r="39" ht="19" customHeight="1" spans="1:18" x14ac:dyDescent="0.25">
      <c r="A39" s="1"/>
      <c r="B39" s="92">
        <f>IF(C39="","",ROW()-5)</f>
      </c>
      <c r="C39" s="53"/>
      <c r="D39" s="53"/>
      <c r="E39" s="56"/>
      <c r="F39" s="56"/>
      <c r="G39" s="56"/>
      <c r="H39" s="56"/>
      <c r="I39" s="56"/>
      <c r="J39" s="56"/>
      <c r="K39" s="56"/>
      <c r="L39" s="56"/>
      <c r="M39" s="56"/>
      <c r="N39" s="53"/>
      <c r="O39" s="53"/>
      <c r="P39" s="1">
        <f>IF(AND(H39="Yes",K39=""),ROW(),"")</f>
      </c>
      <c r="Q39">
        <f>IF(C39="","",1+IF(I39="Yes",1,0))</f>
      </c>
      <c r="R39">
        <f>IF(AND(C39&lt;&gt;"",F39&lt;&gt;"",F39&lt;&gt;"Guest"),ROW(),"")</f>
      </c>
    </row>
    <row r="40" ht="19" customHeight="1" spans="1:18" x14ac:dyDescent="0.25">
      <c r="A40" s="1"/>
      <c r="B40" s="91">
        <f>IF(C40="","",ROW()-5)</f>
      </c>
      <c r="C40" s="53"/>
      <c r="D40" s="53"/>
      <c r="E40" s="56"/>
      <c r="F40" s="56"/>
      <c r="G40" s="56"/>
      <c r="H40" s="56"/>
      <c r="I40" s="56"/>
      <c r="J40" s="56"/>
      <c r="K40" s="56"/>
      <c r="L40" s="56"/>
      <c r="M40" s="56"/>
      <c r="N40" s="53"/>
      <c r="O40" s="53"/>
      <c r="P40" s="1">
        <f>IF(AND(H40="Yes",K40=""),ROW(),"")</f>
      </c>
      <c r="Q40">
        <f>IF(C40="","",1+IF(I40="Yes",1,0))</f>
      </c>
      <c r="R40">
        <f>IF(AND(C40&lt;&gt;"",F40&lt;&gt;"",F40&lt;&gt;"Guest"),ROW(),"")</f>
      </c>
    </row>
    <row r="41" ht="19" customHeight="1" spans="1:18" x14ac:dyDescent="0.25">
      <c r="A41" s="1"/>
      <c r="B41" s="92">
        <f>IF(C41="","",ROW()-5)</f>
      </c>
      <c r="C41" s="53"/>
      <c r="D41" s="53"/>
      <c r="E41" s="56"/>
      <c r="F41" s="56"/>
      <c r="G41" s="56"/>
      <c r="H41" s="56"/>
      <c r="I41" s="56"/>
      <c r="J41" s="56"/>
      <c r="K41" s="56"/>
      <c r="L41" s="56"/>
      <c r="M41" s="56"/>
      <c r="N41" s="53"/>
      <c r="O41" s="53"/>
      <c r="P41" s="1">
        <f>IF(AND(H41="Yes",K41=""),ROW(),"")</f>
      </c>
      <c r="Q41">
        <f>IF(C41="","",1+IF(I41="Yes",1,0))</f>
      </c>
      <c r="R41">
        <f>IF(AND(C41&lt;&gt;"",F41&lt;&gt;"",F41&lt;&gt;"Guest"),ROW(),"")</f>
      </c>
    </row>
    <row r="42" ht="19" customHeight="1" spans="1:18" x14ac:dyDescent="0.25">
      <c r="A42" s="1"/>
      <c r="B42" s="91">
        <f>IF(C42="","",ROW()-5)</f>
      </c>
      <c r="C42" s="53"/>
      <c r="D42" s="53"/>
      <c r="E42" s="56"/>
      <c r="F42" s="56"/>
      <c r="G42" s="56"/>
      <c r="H42" s="56"/>
      <c r="I42" s="56"/>
      <c r="J42" s="56"/>
      <c r="K42" s="56"/>
      <c r="L42" s="56"/>
      <c r="M42" s="56"/>
      <c r="N42" s="53"/>
      <c r="O42" s="53"/>
      <c r="P42" s="1">
        <f>IF(AND(H42="Yes",K42=""),ROW(),"")</f>
      </c>
      <c r="Q42">
        <f>IF(C42="","",1+IF(I42="Yes",1,0))</f>
      </c>
      <c r="R42">
        <f>IF(AND(C42&lt;&gt;"",F42&lt;&gt;"",F42&lt;&gt;"Guest"),ROW(),"")</f>
      </c>
    </row>
    <row r="43" ht="19" customHeight="1" spans="1:18" x14ac:dyDescent="0.25">
      <c r="A43" s="1"/>
      <c r="B43" s="92">
        <f>IF(C43="","",ROW()-5)</f>
      </c>
      <c r="C43" s="53"/>
      <c r="D43" s="53"/>
      <c r="E43" s="56"/>
      <c r="F43" s="56"/>
      <c r="G43" s="56"/>
      <c r="H43" s="56"/>
      <c r="I43" s="56"/>
      <c r="J43" s="56"/>
      <c r="K43" s="56"/>
      <c r="L43" s="56"/>
      <c r="M43" s="56"/>
      <c r="N43" s="53"/>
      <c r="O43" s="53"/>
      <c r="P43" s="1">
        <f>IF(AND(H43="Yes",K43=""),ROW(),"")</f>
      </c>
      <c r="Q43">
        <f>IF(C43="","",1+IF(I43="Yes",1,0))</f>
      </c>
      <c r="R43">
        <f>IF(AND(C43&lt;&gt;"",F43&lt;&gt;"",F43&lt;&gt;"Guest"),ROW(),"")</f>
      </c>
    </row>
    <row r="44" ht="19" customHeight="1" spans="1:18" x14ac:dyDescent="0.25">
      <c r="A44" s="1"/>
      <c r="B44" s="91">
        <f>IF(C44="","",ROW()-5)</f>
      </c>
      <c r="C44" s="53"/>
      <c r="D44" s="53"/>
      <c r="E44" s="56"/>
      <c r="F44" s="56"/>
      <c r="G44" s="56"/>
      <c r="H44" s="56"/>
      <c r="I44" s="56"/>
      <c r="J44" s="56"/>
      <c r="K44" s="56"/>
      <c r="L44" s="56"/>
      <c r="M44" s="56"/>
      <c r="N44" s="53"/>
      <c r="O44" s="53"/>
      <c r="P44" s="1">
        <f>IF(AND(H44="Yes",K44=""),ROW(),"")</f>
      </c>
      <c r="Q44">
        <f>IF(C44="","",1+IF(I44="Yes",1,0))</f>
      </c>
      <c r="R44">
        <f>IF(AND(C44&lt;&gt;"",F44&lt;&gt;"",F44&lt;&gt;"Guest"),ROW(),"")</f>
      </c>
    </row>
    <row r="45" ht="19" customHeight="1" spans="1:18" x14ac:dyDescent="0.25">
      <c r="A45" s="1"/>
      <c r="B45" s="92">
        <f>IF(C45="","",ROW()-5)</f>
      </c>
      <c r="C45" s="53"/>
      <c r="D45" s="53"/>
      <c r="E45" s="56"/>
      <c r="F45" s="56"/>
      <c r="G45" s="56"/>
      <c r="H45" s="56"/>
      <c r="I45" s="56"/>
      <c r="J45" s="56"/>
      <c r="K45" s="56"/>
      <c r="L45" s="56"/>
      <c r="M45" s="56"/>
      <c r="N45" s="53"/>
      <c r="O45" s="53"/>
      <c r="P45" s="1">
        <f>IF(AND(H45="Yes",K45=""),ROW(),"")</f>
      </c>
      <c r="Q45">
        <f>IF(C45="","",1+IF(I45="Yes",1,0))</f>
      </c>
      <c r="R45">
        <f>IF(AND(C45&lt;&gt;"",F45&lt;&gt;"",F45&lt;&gt;"Guest"),ROW(),"")</f>
      </c>
    </row>
    <row r="46" ht="19" customHeight="1" spans="1:18" x14ac:dyDescent="0.25">
      <c r="A46" s="1"/>
      <c r="B46" s="91">
        <f>IF(C46="","",ROW()-5)</f>
      </c>
      <c r="C46" s="53"/>
      <c r="D46" s="53"/>
      <c r="E46" s="56"/>
      <c r="F46" s="56"/>
      <c r="G46" s="56"/>
      <c r="H46" s="56"/>
      <c r="I46" s="56"/>
      <c r="J46" s="56"/>
      <c r="K46" s="56"/>
      <c r="L46" s="56"/>
      <c r="M46" s="56"/>
      <c r="N46" s="53"/>
      <c r="O46" s="53"/>
      <c r="P46" s="1">
        <f>IF(AND(H46="Yes",K46=""),ROW(),"")</f>
      </c>
      <c r="Q46">
        <f>IF(C46="","",1+IF(I46="Yes",1,0))</f>
      </c>
      <c r="R46">
        <f>IF(AND(C46&lt;&gt;"",F46&lt;&gt;"",F46&lt;&gt;"Guest"),ROW(),"")</f>
      </c>
    </row>
    <row r="47" ht="19" customHeight="1" spans="1:18" x14ac:dyDescent="0.25">
      <c r="A47" s="1"/>
      <c r="B47" s="92">
        <f>IF(C47="","",ROW()-5)</f>
      </c>
      <c r="C47" s="53"/>
      <c r="D47" s="53"/>
      <c r="E47" s="56"/>
      <c r="F47" s="56"/>
      <c r="G47" s="56"/>
      <c r="H47" s="56"/>
      <c r="I47" s="56"/>
      <c r="J47" s="56"/>
      <c r="K47" s="56"/>
      <c r="L47" s="56"/>
      <c r="M47" s="56"/>
      <c r="N47" s="53"/>
      <c r="O47" s="53"/>
      <c r="P47" s="1">
        <f>IF(AND(H47="Yes",K47=""),ROW(),"")</f>
      </c>
      <c r="Q47">
        <f>IF(C47="","",1+IF(I47="Yes",1,0))</f>
      </c>
      <c r="R47">
        <f>IF(AND(C47&lt;&gt;"",F47&lt;&gt;"",F47&lt;&gt;"Guest"),ROW(),"")</f>
      </c>
    </row>
    <row r="48" ht="19" customHeight="1" spans="1:18" x14ac:dyDescent="0.25">
      <c r="A48" s="1"/>
      <c r="B48" s="91">
        <f>IF(C48="","",ROW()-5)</f>
      </c>
      <c r="C48" s="53"/>
      <c r="D48" s="53"/>
      <c r="E48" s="56"/>
      <c r="F48" s="56"/>
      <c r="G48" s="56"/>
      <c r="H48" s="56"/>
      <c r="I48" s="56"/>
      <c r="J48" s="56"/>
      <c r="K48" s="56"/>
      <c r="L48" s="56"/>
      <c r="M48" s="56"/>
      <c r="N48" s="53"/>
      <c r="O48" s="53"/>
      <c r="P48" s="1">
        <f>IF(AND(H48="Yes",K48=""),ROW(),"")</f>
      </c>
      <c r="Q48">
        <f>IF(C48="","",1+IF(I48="Yes",1,0))</f>
      </c>
      <c r="R48">
        <f>IF(AND(C48&lt;&gt;"",F48&lt;&gt;"",F48&lt;&gt;"Guest"),ROW(),"")</f>
      </c>
    </row>
    <row r="49" ht="19" customHeight="1" spans="1:18" x14ac:dyDescent="0.25">
      <c r="A49" s="1"/>
      <c r="B49" s="92">
        <f>IF(C49="","",ROW()-5)</f>
      </c>
      <c r="C49" s="53"/>
      <c r="D49" s="53"/>
      <c r="E49" s="56"/>
      <c r="F49" s="56"/>
      <c r="G49" s="56"/>
      <c r="H49" s="56"/>
      <c r="I49" s="56"/>
      <c r="J49" s="56"/>
      <c r="K49" s="56"/>
      <c r="L49" s="56"/>
      <c r="M49" s="56"/>
      <c r="N49" s="53"/>
      <c r="O49" s="53"/>
      <c r="P49" s="1">
        <f>IF(AND(H49="Yes",K49=""),ROW(),"")</f>
      </c>
      <c r="Q49">
        <f>IF(C49="","",1+IF(I49="Yes",1,0))</f>
      </c>
      <c r="R49">
        <f>IF(AND(C49&lt;&gt;"",F49&lt;&gt;"",F49&lt;&gt;"Guest"),ROW(),"")</f>
      </c>
    </row>
    <row r="50" ht="19" customHeight="1" spans="1:18" x14ac:dyDescent="0.25">
      <c r="A50" s="1"/>
      <c r="B50" s="91">
        <f>IF(C50="","",ROW()-5)</f>
      </c>
      <c r="C50" s="53"/>
      <c r="D50" s="53"/>
      <c r="E50" s="56"/>
      <c r="F50" s="56"/>
      <c r="G50" s="56"/>
      <c r="H50" s="56"/>
      <c r="I50" s="56"/>
      <c r="J50" s="56"/>
      <c r="K50" s="56"/>
      <c r="L50" s="56"/>
      <c r="M50" s="56"/>
      <c r="N50" s="53"/>
      <c r="O50" s="53"/>
      <c r="P50" s="1">
        <f>IF(AND(H50="Yes",K50=""),ROW(),"")</f>
      </c>
      <c r="Q50">
        <f>IF(C50="","",1+IF(I50="Yes",1,0))</f>
      </c>
      <c r="R50">
        <f>IF(AND(C50&lt;&gt;"",F50&lt;&gt;"",F50&lt;&gt;"Guest"),ROW(),"")</f>
      </c>
    </row>
    <row r="51" ht="19" customHeight="1" spans="1:18" x14ac:dyDescent="0.25">
      <c r="A51" s="1"/>
      <c r="B51" s="92">
        <f>IF(C51="","",ROW()-5)</f>
      </c>
      <c r="C51" s="53"/>
      <c r="D51" s="53"/>
      <c r="E51" s="56"/>
      <c r="F51" s="56"/>
      <c r="G51" s="56"/>
      <c r="H51" s="56"/>
      <c r="I51" s="56"/>
      <c r="J51" s="56"/>
      <c r="K51" s="56"/>
      <c r="L51" s="56"/>
      <c r="M51" s="56"/>
      <c r="N51" s="53"/>
      <c r="O51" s="53"/>
      <c r="P51" s="1">
        <f>IF(AND(H51="Yes",K51=""),ROW(),"")</f>
      </c>
      <c r="Q51">
        <f>IF(C51="","",1+IF(I51="Yes",1,0))</f>
      </c>
      <c r="R51">
        <f>IF(AND(C51&lt;&gt;"",F51&lt;&gt;"",F51&lt;&gt;"Guest"),ROW(),"")</f>
      </c>
    </row>
    <row r="52" ht="19" customHeight="1" spans="1:18" x14ac:dyDescent="0.25">
      <c r="A52" s="1"/>
      <c r="B52" s="91">
        <f>IF(C52="","",ROW()-5)</f>
      </c>
      <c r="C52" s="53"/>
      <c r="D52" s="53"/>
      <c r="E52" s="56"/>
      <c r="F52" s="56"/>
      <c r="G52" s="56"/>
      <c r="H52" s="56"/>
      <c r="I52" s="56"/>
      <c r="J52" s="56"/>
      <c r="K52" s="56"/>
      <c r="L52" s="56"/>
      <c r="M52" s="56"/>
      <c r="N52" s="53"/>
      <c r="O52" s="53"/>
      <c r="P52" s="1">
        <f>IF(AND(H52="Yes",K52=""),ROW(),"")</f>
      </c>
      <c r="Q52">
        <f>IF(C52="","",1+IF(I52="Yes",1,0))</f>
      </c>
      <c r="R52">
        <f>IF(AND(C52&lt;&gt;"",F52&lt;&gt;"",F52&lt;&gt;"Guest"),ROW(),"")</f>
      </c>
    </row>
    <row r="53" ht="19" customHeight="1" spans="1:18" x14ac:dyDescent="0.25">
      <c r="A53" s="1"/>
      <c r="B53" s="92">
        <f>IF(C53="","",ROW()-5)</f>
      </c>
      <c r="C53" s="53"/>
      <c r="D53" s="53"/>
      <c r="E53" s="56"/>
      <c r="F53" s="56"/>
      <c r="G53" s="56"/>
      <c r="H53" s="56"/>
      <c r="I53" s="56"/>
      <c r="J53" s="56"/>
      <c r="K53" s="56"/>
      <c r="L53" s="56"/>
      <c r="M53" s="56"/>
      <c r="N53" s="53"/>
      <c r="O53" s="53"/>
      <c r="P53" s="1">
        <f>IF(AND(H53="Yes",K53=""),ROW(),"")</f>
      </c>
      <c r="Q53">
        <f>IF(C53="","",1+IF(I53="Yes",1,0))</f>
      </c>
      <c r="R53">
        <f>IF(AND(C53&lt;&gt;"",F53&lt;&gt;"",F53&lt;&gt;"Guest"),ROW(),"")</f>
      </c>
    </row>
    <row r="54" ht="19" customHeight="1" spans="1:18" x14ac:dyDescent="0.25">
      <c r="A54" s="1"/>
      <c r="B54" s="91">
        <f>IF(C54="","",ROW()-5)</f>
      </c>
      <c r="C54" s="53"/>
      <c r="D54" s="53"/>
      <c r="E54" s="56"/>
      <c r="F54" s="56"/>
      <c r="G54" s="56"/>
      <c r="H54" s="56"/>
      <c r="I54" s="56"/>
      <c r="J54" s="56"/>
      <c r="K54" s="56"/>
      <c r="L54" s="56"/>
      <c r="M54" s="56"/>
      <c r="N54" s="53"/>
      <c r="O54" s="53"/>
      <c r="P54" s="1">
        <f>IF(AND(H54="Yes",K54=""),ROW(),"")</f>
      </c>
      <c r="Q54">
        <f>IF(C54="","",1+IF(I54="Yes",1,0))</f>
      </c>
      <c r="R54">
        <f>IF(AND(C54&lt;&gt;"",F54&lt;&gt;"",F54&lt;&gt;"Guest"),ROW(),"")</f>
      </c>
    </row>
    <row r="55" ht="19" customHeight="1" spans="1:18" x14ac:dyDescent="0.25">
      <c r="A55" s="1"/>
      <c r="B55" s="92">
        <f>IF(C55="","",ROW()-5)</f>
      </c>
      <c r="C55" s="53"/>
      <c r="D55" s="53"/>
      <c r="E55" s="56"/>
      <c r="F55" s="56"/>
      <c r="G55" s="56"/>
      <c r="H55" s="56"/>
      <c r="I55" s="56"/>
      <c r="J55" s="56"/>
      <c r="K55" s="56"/>
      <c r="L55" s="56"/>
      <c r="M55" s="56"/>
      <c r="N55" s="53"/>
      <c r="O55" s="53"/>
      <c r="P55" s="1">
        <f>IF(AND(H55="Yes",K55=""),ROW(),"")</f>
      </c>
      <c r="Q55">
        <f>IF(C55="","",1+IF(I55="Yes",1,0))</f>
      </c>
      <c r="R55">
        <f>IF(AND(C55&lt;&gt;"",F55&lt;&gt;"",F55&lt;&gt;"Guest"),ROW(),"")</f>
      </c>
    </row>
    <row r="56" ht="19" customHeight="1" spans="1:18" x14ac:dyDescent="0.25">
      <c r="A56" s="1"/>
      <c r="B56" s="91">
        <f>IF(C56="","",ROW()-5)</f>
      </c>
      <c r="C56" s="53"/>
      <c r="D56" s="53"/>
      <c r="E56" s="56"/>
      <c r="F56" s="56"/>
      <c r="G56" s="56"/>
      <c r="H56" s="56"/>
      <c r="I56" s="56"/>
      <c r="J56" s="56"/>
      <c r="K56" s="56"/>
      <c r="L56" s="56"/>
      <c r="M56" s="56"/>
      <c r="N56" s="53"/>
      <c r="O56" s="53"/>
      <c r="P56" s="1">
        <f>IF(AND(H56="Yes",K56=""),ROW(),"")</f>
      </c>
      <c r="Q56">
        <f>IF(C56="","",1+IF(I56="Yes",1,0))</f>
      </c>
      <c r="R56">
        <f>IF(AND(C56&lt;&gt;"",F56&lt;&gt;"",F56&lt;&gt;"Guest"),ROW(),"")</f>
      </c>
    </row>
    <row r="57" ht="19" customHeight="1" spans="1:18" x14ac:dyDescent="0.25">
      <c r="A57" s="1"/>
      <c r="B57" s="92">
        <f>IF(C57="","",ROW()-5)</f>
      </c>
      <c r="C57" s="53"/>
      <c r="D57" s="53"/>
      <c r="E57" s="56"/>
      <c r="F57" s="56"/>
      <c r="G57" s="56"/>
      <c r="H57" s="56"/>
      <c r="I57" s="56"/>
      <c r="J57" s="56"/>
      <c r="K57" s="56"/>
      <c r="L57" s="56"/>
      <c r="M57" s="56"/>
      <c r="N57" s="53"/>
      <c r="O57" s="53"/>
      <c r="P57" s="1">
        <f>IF(AND(H57="Yes",K57=""),ROW(),"")</f>
      </c>
      <c r="Q57">
        <f>IF(C57="","",1+IF(I57="Yes",1,0))</f>
      </c>
      <c r="R57">
        <f>IF(AND(C57&lt;&gt;"",F57&lt;&gt;"",F57&lt;&gt;"Guest"),ROW(),"")</f>
      </c>
    </row>
    <row r="58" ht="19" customHeight="1" spans="1:18" x14ac:dyDescent="0.25">
      <c r="A58" s="1"/>
      <c r="B58" s="91">
        <f>IF(C58="","",ROW()-5)</f>
      </c>
      <c r="C58" s="53"/>
      <c r="D58" s="53"/>
      <c r="E58" s="56"/>
      <c r="F58" s="56"/>
      <c r="G58" s="56"/>
      <c r="H58" s="56"/>
      <c r="I58" s="56"/>
      <c r="J58" s="56"/>
      <c r="K58" s="56"/>
      <c r="L58" s="56"/>
      <c r="M58" s="56"/>
      <c r="N58" s="53"/>
      <c r="O58" s="53"/>
      <c r="P58" s="1">
        <f>IF(AND(H58="Yes",K58=""),ROW(),"")</f>
      </c>
      <c r="Q58">
        <f>IF(C58="","",1+IF(I58="Yes",1,0))</f>
      </c>
      <c r="R58">
        <f>IF(AND(C58&lt;&gt;"",F58&lt;&gt;"",F58&lt;&gt;"Guest"),ROW(),"")</f>
      </c>
    </row>
    <row r="59" ht="19" customHeight="1" spans="1:18" x14ac:dyDescent="0.25">
      <c r="A59" s="1"/>
      <c r="B59" s="92">
        <f>IF(C59="","",ROW()-5)</f>
      </c>
      <c r="C59" s="53"/>
      <c r="D59" s="53"/>
      <c r="E59" s="56"/>
      <c r="F59" s="56"/>
      <c r="G59" s="56"/>
      <c r="H59" s="56"/>
      <c r="I59" s="56"/>
      <c r="J59" s="56"/>
      <c r="K59" s="56"/>
      <c r="L59" s="56"/>
      <c r="M59" s="56"/>
      <c r="N59" s="53"/>
      <c r="O59" s="53"/>
      <c r="P59" s="1">
        <f>IF(AND(H59="Yes",K59=""),ROW(),"")</f>
      </c>
      <c r="Q59">
        <f>IF(C59="","",1+IF(I59="Yes",1,0))</f>
      </c>
      <c r="R59">
        <f>IF(AND(C59&lt;&gt;"",F59&lt;&gt;"",F59&lt;&gt;"Guest"),ROW(),"")</f>
      </c>
    </row>
    <row r="60" ht="19" customHeight="1" spans="1:18" x14ac:dyDescent="0.25">
      <c r="A60" s="1"/>
      <c r="B60" s="91">
        <f>IF(C60="","",ROW()-5)</f>
      </c>
      <c r="C60" s="53"/>
      <c r="D60" s="53"/>
      <c r="E60" s="56"/>
      <c r="F60" s="56"/>
      <c r="G60" s="56"/>
      <c r="H60" s="56"/>
      <c r="I60" s="56"/>
      <c r="J60" s="56"/>
      <c r="K60" s="56"/>
      <c r="L60" s="56"/>
      <c r="M60" s="56"/>
      <c r="N60" s="53"/>
      <c r="O60" s="53"/>
      <c r="P60" s="1">
        <f>IF(AND(H60="Yes",K60=""),ROW(),"")</f>
      </c>
      <c r="Q60">
        <f>IF(C60="","",1+IF(I60="Yes",1,0))</f>
      </c>
      <c r="R60">
        <f>IF(AND(C60&lt;&gt;"",F60&lt;&gt;"",F60&lt;&gt;"Guest"),ROW(),"")</f>
      </c>
    </row>
    <row r="61" ht="19" customHeight="1" spans="1:18" x14ac:dyDescent="0.25">
      <c r="A61" s="1"/>
      <c r="B61" s="92">
        <f>IF(C61="","",ROW()-5)</f>
      </c>
      <c r="C61" s="53"/>
      <c r="D61" s="53"/>
      <c r="E61" s="56"/>
      <c r="F61" s="56"/>
      <c r="G61" s="56"/>
      <c r="H61" s="56"/>
      <c r="I61" s="56"/>
      <c r="J61" s="56"/>
      <c r="K61" s="56"/>
      <c r="L61" s="56"/>
      <c r="M61" s="56"/>
      <c r="N61" s="53"/>
      <c r="O61" s="53"/>
      <c r="P61" s="1">
        <f>IF(AND(H61="Yes",K61=""),ROW(),"")</f>
      </c>
      <c r="Q61">
        <f>IF(C61="","",1+IF(I61="Yes",1,0))</f>
      </c>
      <c r="R61">
        <f>IF(AND(C61&lt;&gt;"",F61&lt;&gt;"",F61&lt;&gt;"Guest"),ROW(),"")</f>
      </c>
    </row>
    <row r="62" ht="19" customHeight="1" spans="1:18" x14ac:dyDescent="0.25">
      <c r="A62" s="1"/>
      <c r="B62" s="91">
        <f>IF(C62="","",ROW()-5)</f>
      </c>
      <c r="C62" s="53"/>
      <c r="D62" s="53"/>
      <c r="E62" s="56"/>
      <c r="F62" s="56"/>
      <c r="G62" s="56"/>
      <c r="H62" s="56"/>
      <c r="I62" s="56"/>
      <c r="J62" s="56"/>
      <c r="K62" s="56"/>
      <c r="L62" s="56"/>
      <c r="M62" s="56"/>
      <c r="N62" s="53"/>
      <c r="O62" s="53"/>
      <c r="P62" s="1">
        <f>IF(AND(H62="Yes",K62=""),ROW(),"")</f>
      </c>
      <c r="Q62">
        <f>IF(C62="","",1+IF(I62="Yes",1,0))</f>
      </c>
      <c r="R62">
        <f>IF(AND(C62&lt;&gt;"",F62&lt;&gt;"",F62&lt;&gt;"Guest"),ROW(),"")</f>
      </c>
    </row>
    <row r="63" ht="19" customHeight="1" spans="1:18" x14ac:dyDescent="0.25">
      <c r="A63" s="1"/>
      <c r="B63" s="92">
        <f>IF(C63="","",ROW()-5)</f>
      </c>
      <c r="C63" s="53"/>
      <c r="D63" s="53"/>
      <c r="E63" s="56"/>
      <c r="F63" s="56"/>
      <c r="G63" s="56"/>
      <c r="H63" s="56"/>
      <c r="I63" s="56"/>
      <c r="J63" s="56"/>
      <c r="K63" s="56"/>
      <c r="L63" s="56"/>
      <c r="M63" s="56"/>
      <c r="N63" s="53"/>
      <c r="O63" s="53"/>
      <c r="P63" s="1">
        <f>IF(AND(H63="Yes",K63=""),ROW(),"")</f>
      </c>
      <c r="Q63">
        <f>IF(C63="","",1+IF(I63="Yes",1,0))</f>
      </c>
      <c r="R63">
        <f>IF(AND(C63&lt;&gt;"",F63&lt;&gt;"",F63&lt;&gt;"Guest"),ROW(),"")</f>
      </c>
    </row>
    <row r="64" ht="19" customHeight="1" spans="1:18" x14ac:dyDescent="0.25">
      <c r="A64" s="1"/>
      <c r="B64" s="91">
        <f>IF(C64="","",ROW()-5)</f>
      </c>
      <c r="C64" s="53"/>
      <c r="D64" s="53"/>
      <c r="E64" s="56"/>
      <c r="F64" s="56"/>
      <c r="G64" s="56"/>
      <c r="H64" s="56"/>
      <c r="I64" s="56"/>
      <c r="J64" s="56"/>
      <c r="K64" s="56"/>
      <c r="L64" s="56"/>
      <c r="M64" s="56"/>
      <c r="N64" s="53"/>
      <c r="O64" s="53"/>
      <c r="P64" s="1">
        <f>IF(AND(H64="Yes",K64=""),ROW(),"")</f>
      </c>
      <c r="Q64">
        <f>IF(C64="","",1+IF(I64="Yes",1,0))</f>
      </c>
      <c r="R64">
        <f>IF(AND(C64&lt;&gt;"",F64&lt;&gt;"",F64&lt;&gt;"Guest"),ROW(),"")</f>
      </c>
    </row>
    <row r="65" ht="19" customHeight="1" spans="1:18" x14ac:dyDescent="0.25">
      <c r="A65" s="1"/>
      <c r="B65" s="92">
        <f>IF(C65="","",ROW()-5)</f>
      </c>
      <c r="C65" s="53"/>
      <c r="D65" s="53"/>
      <c r="E65" s="56"/>
      <c r="F65" s="56"/>
      <c r="G65" s="56"/>
      <c r="H65" s="56"/>
      <c r="I65" s="56"/>
      <c r="J65" s="56"/>
      <c r="K65" s="56"/>
      <c r="L65" s="56"/>
      <c r="M65" s="56"/>
      <c r="N65" s="53"/>
      <c r="O65" s="53"/>
      <c r="P65" s="1">
        <f>IF(AND(H65="Yes",K65=""),ROW(),"")</f>
      </c>
      <c r="Q65">
        <f>IF(C65="","",1+IF(I65="Yes",1,0))</f>
      </c>
      <c r="R65">
        <f>IF(AND(C65&lt;&gt;"",F65&lt;&gt;"",F65&lt;&gt;"Guest"),ROW(),"")</f>
      </c>
    </row>
    <row r="66" ht="19" customHeight="1" spans="1:18" x14ac:dyDescent="0.25">
      <c r="A66" s="1"/>
      <c r="B66" s="91">
        <f>IF(C66="","",ROW()-5)</f>
      </c>
      <c r="C66" s="53"/>
      <c r="D66" s="53"/>
      <c r="E66" s="56"/>
      <c r="F66" s="56"/>
      <c r="G66" s="56"/>
      <c r="H66" s="56"/>
      <c r="I66" s="56"/>
      <c r="J66" s="56"/>
      <c r="K66" s="56"/>
      <c r="L66" s="56"/>
      <c r="M66" s="56"/>
      <c r="N66" s="53"/>
      <c r="O66" s="53"/>
      <c r="P66" s="1">
        <f>IF(AND(H66="Yes",K66=""),ROW(),"")</f>
      </c>
      <c r="Q66">
        <f>IF(C66="","",1+IF(I66="Yes",1,0))</f>
      </c>
      <c r="R66">
        <f>IF(AND(C66&lt;&gt;"",F66&lt;&gt;"",F66&lt;&gt;"Guest"),ROW(),"")</f>
      </c>
    </row>
    <row r="67" ht="19" customHeight="1" spans="1:18" x14ac:dyDescent="0.25">
      <c r="A67" s="1"/>
      <c r="B67" s="92">
        <f>IF(C67="","",ROW()-5)</f>
      </c>
      <c r="C67" s="53"/>
      <c r="D67" s="53"/>
      <c r="E67" s="56"/>
      <c r="F67" s="56"/>
      <c r="G67" s="56"/>
      <c r="H67" s="56"/>
      <c r="I67" s="56"/>
      <c r="J67" s="56"/>
      <c r="K67" s="56"/>
      <c r="L67" s="56"/>
      <c r="M67" s="56"/>
      <c r="N67" s="53"/>
      <c r="O67" s="53"/>
      <c r="P67" s="1">
        <f>IF(AND(H67="Yes",K67=""),ROW(),"")</f>
      </c>
      <c r="Q67">
        <f>IF(C67="","",1+IF(I67="Yes",1,0))</f>
      </c>
      <c r="R67">
        <f>IF(AND(C67&lt;&gt;"",F67&lt;&gt;"",F67&lt;&gt;"Guest"),ROW(),"")</f>
      </c>
    </row>
    <row r="68" ht="19" customHeight="1" spans="1:18" x14ac:dyDescent="0.25">
      <c r="A68" s="1"/>
      <c r="B68" s="91">
        <f>IF(C68="","",ROW()-5)</f>
      </c>
      <c r="C68" s="53"/>
      <c r="D68" s="53"/>
      <c r="E68" s="56"/>
      <c r="F68" s="56"/>
      <c r="G68" s="56"/>
      <c r="H68" s="56"/>
      <c r="I68" s="56"/>
      <c r="J68" s="56"/>
      <c r="K68" s="56"/>
      <c r="L68" s="56"/>
      <c r="M68" s="56"/>
      <c r="N68" s="53"/>
      <c r="O68" s="53"/>
      <c r="P68" s="1">
        <f>IF(AND(H68="Yes",K68=""),ROW(),"")</f>
      </c>
      <c r="Q68">
        <f>IF(C68="","",1+IF(I68="Yes",1,0))</f>
      </c>
      <c r="R68">
        <f>IF(AND(C68&lt;&gt;"",F68&lt;&gt;"",F68&lt;&gt;"Guest"),ROW(),"")</f>
      </c>
    </row>
    <row r="69" ht="19" customHeight="1" spans="1:18" x14ac:dyDescent="0.25">
      <c r="A69" s="1"/>
      <c r="B69" s="92">
        <f>IF(C69="","",ROW()-5)</f>
      </c>
      <c r="C69" s="53"/>
      <c r="D69" s="53"/>
      <c r="E69" s="56"/>
      <c r="F69" s="56"/>
      <c r="G69" s="56"/>
      <c r="H69" s="56"/>
      <c r="I69" s="56"/>
      <c r="J69" s="56"/>
      <c r="K69" s="56"/>
      <c r="L69" s="56"/>
      <c r="M69" s="56"/>
      <c r="N69" s="53"/>
      <c r="O69" s="53"/>
      <c r="P69" s="1">
        <f>IF(AND(H69="Yes",K69=""),ROW(),"")</f>
      </c>
      <c r="Q69">
        <f>IF(C69="","",1+IF(I69="Yes",1,0))</f>
      </c>
      <c r="R69">
        <f>IF(AND(C69&lt;&gt;"",F69&lt;&gt;"",F69&lt;&gt;"Guest"),ROW(),"")</f>
      </c>
    </row>
    <row r="70" ht="19" customHeight="1" spans="1:18" x14ac:dyDescent="0.25">
      <c r="A70" s="1"/>
      <c r="B70" s="91">
        <f>IF(C70="","",ROW()-5)</f>
      </c>
      <c r="C70" s="53"/>
      <c r="D70" s="53"/>
      <c r="E70" s="56"/>
      <c r="F70" s="56"/>
      <c r="G70" s="56"/>
      <c r="H70" s="56"/>
      <c r="I70" s="56"/>
      <c r="J70" s="56"/>
      <c r="K70" s="56"/>
      <c r="L70" s="56"/>
      <c r="M70" s="56"/>
      <c r="N70" s="53"/>
      <c r="O70" s="53"/>
      <c r="P70" s="1">
        <f>IF(AND(H70="Yes",K70=""),ROW(),"")</f>
      </c>
      <c r="Q70">
        <f>IF(C70="","",1+IF(I70="Yes",1,0))</f>
      </c>
      <c r="R70">
        <f>IF(AND(C70&lt;&gt;"",F70&lt;&gt;"",F70&lt;&gt;"Guest"),ROW(),"")</f>
      </c>
    </row>
    <row r="71" ht="19" customHeight="1" spans="1:18" x14ac:dyDescent="0.25">
      <c r="A71" s="1"/>
      <c r="B71" s="92">
        <f>IF(C71="","",ROW()-5)</f>
      </c>
      <c r="C71" s="53"/>
      <c r="D71" s="53"/>
      <c r="E71" s="56"/>
      <c r="F71" s="56"/>
      <c r="G71" s="56"/>
      <c r="H71" s="56"/>
      <c r="I71" s="56"/>
      <c r="J71" s="56"/>
      <c r="K71" s="56"/>
      <c r="L71" s="56"/>
      <c r="M71" s="56"/>
      <c r="N71" s="53"/>
      <c r="O71" s="53"/>
      <c r="P71" s="1">
        <f>IF(AND(H71="Yes",K71=""),ROW(),"")</f>
      </c>
      <c r="Q71">
        <f>IF(C71="","",1+IF(I71="Yes",1,0))</f>
      </c>
      <c r="R71">
        <f>IF(AND(C71&lt;&gt;"",F71&lt;&gt;"",F71&lt;&gt;"Guest"),ROW(),"")</f>
      </c>
    </row>
    <row r="72" ht="19" customHeight="1" spans="1:18" x14ac:dyDescent="0.25">
      <c r="A72" s="1"/>
      <c r="B72" s="91">
        <f>IF(C72="","",ROW()-5)</f>
      </c>
      <c r="C72" s="53"/>
      <c r="D72" s="53"/>
      <c r="E72" s="56"/>
      <c r="F72" s="56"/>
      <c r="G72" s="56"/>
      <c r="H72" s="56"/>
      <c r="I72" s="56"/>
      <c r="J72" s="56"/>
      <c r="K72" s="56"/>
      <c r="L72" s="56"/>
      <c r="M72" s="56"/>
      <c r="N72" s="53"/>
      <c r="O72" s="53"/>
      <c r="P72" s="1">
        <f>IF(AND(H72="Yes",K72=""),ROW(),"")</f>
      </c>
      <c r="Q72">
        <f>IF(C72="","",1+IF(I72="Yes",1,0))</f>
      </c>
      <c r="R72">
        <f>IF(AND(C72&lt;&gt;"",F72&lt;&gt;"",F72&lt;&gt;"Guest"),ROW(),"")</f>
      </c>
    </row>
    <row r="73" ht="19" customHeight="1" spans="1:18" x14ac:dyDescent="0.25">
      <c r="A73" s="1"/>
      <c r="B73" s="92">
        <f>IF(C73="","",ROW()-5)</f>
      </c>
      <c r="C73" s="53"/>
      <c r="D73" s="53"/>
      <c r="E73" s="56"/>
      <c r="F73" s="56"/>
      <c r="G73" s="56"/>
      <c r="H73" s="56"/>
      <c r="I73" s="56"/>
      <c r="J73" s="56"/>
      <c r="K73" s="56"/>
      <c r="L73" s="56"/>
      <c r="M73" s="56"/>
      <c r="N73" s="53"/>
      <c r="O73" s="53"/>
      <c r="P73" s="1">
        <f>IF(AND(H73="Yes",K73=""),ROW(),"")</f>
      </c>
      <c r="Q73">
        <f>IF(C73="","",1+IF(I73="Yes",1,0))</f>
      </c>
      <c r="R73">
        <f>IF(AND(C73&lt;&gt;"",F73&lt;&gt;"",F73&lt;&gt;"Guest"),ROW(),"")</f>
      </c>
    </row>
    <row r="74" ht="19" customHeight="1" spans="1:18" x14ac:dyDescent="0.25">
      <c r="A74" s="1"/>
      <c r="B74" s="91">
        <f>IF(C74="","",ROW()-5)</f>
      </c>
      <c r="C74" s="53"/>
      <c r="D74" s="53"/>
      <c r="E74" s="56"/>
      <c r="F74" s="56"/>
      <c r="G74" s="56"/>
      <c r="H74" s="56"/>
      <c r="I74" s="56"/>
      <c r="J74" s="56"/>
      <c r="K74" s="56"/>
      <c r="L74" s="56"/>
      <c r="M74" s="56"/>
      <c r="N74" s="53"/>
      <c r="O74" s="53"/>
      <c r="P74" s="1">
        <f>IF(AND(H74="Yes",K74=""),ROW(),"")</f>
      </c>
      <c r="Q74">
        <f>IF(C74="","",1+IF(I74="Yes",1,0))</f>
      </c>
      <c r="R74">
        <f>IF(AND(C74&lt;&gt;"",F74&lt;&gt;"",F74&lt;&gt;"Guest"),ROW(),"")</f>
      </c>
    </row>
    <row r="75" ht="19" customHeight="1" spans="1:18" x14ac:dyDescent="0.25">
      <c r="A75" s="1"/>
      <c r="B75" s="92">
        <f>IF(C75="","",ROW()-5)</f>
      </c>
      <c r="C75" s="53"/>
      <c r="D75" s="53"/>
      <c r="E75" s="56"/>
      <c r="F75" s="56"/>
      <c r="G75" s="56"/>
      <c r="H75" s="56"/>
      <c r="I75" s="56"/>
      <c r="J75" s="56"/>
      <c r="K75" s="56"/>
      <c r="L75" s="56"/>
      <c r="M75" s="56"/>
      <c r="N75" s="53"/>
      <c r="O75" s="53"/>
      <c r="P75" s="1">
        <f>IF(AND(H75="Yes",K75=""),ROW(),"")</f>
      </c>
      <c r="Q75">
        <f>IF(C75="","",1+IF(I75="Yes",1,0))</f>
      </c>
      <c r="R75">
        <f>IF(AND(C75&lt;&gt;"",F75&lt;&gt;"",F75&lt;&gt;"Guest"),ROW(),"")</f>
      </c>
    </row>
    <row r="76" ht="19" customHeight="1" spans="1:18" x14ac:dyDescent="0.25">
      <c r="A76" s="1"/>
      <c r="B76" s="91">
        <f>IF(C76="","",ROW()-5)</f>
      </c>
      <c r="C76" s="53"/>
      <c r="D76" s="53"/>
      <c r="E76" s="56"/>
      <c r="F76" s="56"/>
      <c r="G76" s="56"/>
      <c r="H76" s="56"/>
      <c r="I76" s="56"/>
      <c r="J76" s="56"/>
      <c r="K76" s="56"/>
      <c r="L76" s="56"/>
      <c r="M76" s="56"/>
      <c r="N76" s="53"/>
      <c r="O76" s="53"/>
      <c r="P76" s="1">
        <f>IF(AND(H76="Yes",K76=""),ROW(),"")</f>
      </c>
      <c r="Q76">
        <f>IF(C76="","",1+IF(I76="Yes",1,0))</f>
      </c>
      <c r="R76">
        <f>IF(AND(C76&lt;&gt;"",F76&lt;&gt;"",F76&lt;&gt;"Guest"),ROW(),"")</f>
      </c>
    </row>
    <row r="77" ht="19" customHeight="1" spans="1:18" x14ac:dyDescent="0.25">
      <c r="A77" s="1"/>
      <c r="B77" s="92">
        <f>IF(C77="","",ROW()-5)</f>
      </c>
      <c r="C77" s="53"/>
      <c r="D77" s="53"/>
      <c r="E77" s="56"/>
      <c r="F77" s="56"/>
      <c r="G77" s="56"/>
      <c r="H77" s="56"/>
      <c r="I77" s="56"/>
      <c r="J77" s="56"/>
      <c r="K77" s="56"/>
      <c r="L77" s="56"/>
      <c r="M77" s="56"/>
      <c r="N77" s="53"/>
      <c r="O77" s="53"/>
      <c r="P77" s="1">
        <f>IF(AND(H77="Yes",K77=""),ROW(),"")</f>
      </c>
      <c r="Q77">
        <f>IF(C77="","",1+IF(I77="Yes",1,0))</f>
      </c>
      <c r="R77">
        <f>IF(AND(C77&lt;&gt;"",F77&lt;&gt;"",F77&lt;&gt;"Guest"),ROW(),"")</f>
      </c>
    </row>
    <row r="78" ht="19" customHeight="1" spans="1:18" x14ac:dyDescent="0.25">
      <c r="A78" s="1"/>
      <c r="B78" s="91">
        <f>IF(C78="","",ROW()-5)</f>
      </c>
      <c r="C78" s="53"/>
      <c r="D78" s="53"/>
      <c r="E78" s="56"/>
      <c r="F78" s="56"/>
      <c r="G78" s="56"/>
      <c r="H78" s="56"/>
      <c r="I78" s="56"/>
      <c r="J78" s="56"/>
      <c r="K78" s="56"/>
      <c r="L78" s="56"/>
      <c r="M78" s="56"/>
      <c r="N78" s="53"/>
      <c r="O78" s="53"/>
      <c r="P78" s="1">
        <f>IF(AND(H78="Yes",K78=""),ROW(),"")</f>
      </c>
      <c r="Q78">
        <f>IF(C78="","",1+IF(I78="Yes",1,0))</f>
      </c>
      <c r="R78">
        <f>IF(AND(C78&lt;&gt;"",F78&lt;&gt;"",F78&lt;&gt;"Guest"),ROW(),"")</f>
      </c>
    </row>
    <row r="79" ht="19" customHeight="1" spans="1:18" x14ac:dyDescent="0.25">
      <c r="A79" s="1"/>
      <c r="B79" s="92">
        <f>IF(C79="","",ROW()-5)</f>
      </c>
      <c r="C79" s="53"/>
      <c r="D79" s="53"/>
      <c r="E79" s="56"/>
      <c r="F79" s="56"/>
      <c r="G79" s="56"/>
      <c r="H79" s="56"/>
      <c r="I79" s="56"/>
      <c r="J79" s="56"/>
      <c r="K79" s="56"/>
      <c r="L79" s="56"/>
      <c r="M79" s="56"/>
      <c r="N79" s="53"/>
      <c r="O79" s="53"/>
      <c r="P79" s="1">
        <f>IF(AND(H79="Yes",K79=""),ROW(),"")</f>
      </c>
      <c r="Q79">
        <f>IF(C79="","",1+IF(I79="Yes",1,0))</f>
      </c>
      <c r="R79">
        <f>IF(AND(C79&lt;&gt;"",F79&lt;&gt;"",F79&lt;&gt;"Guest"),ROW(),"")</f>
      </c>
    </row>
    <row r="80" ht="19" customHeight="1" spans="1:18" x14ac:dyDescent="0.25">
      <c r="A80" s="1"/>
      <c r="B80" s="91">
        <f>IF(C80="","",ROW()-5)</f>
      </c>
      <c r="C80" s="53"/>
      <c r="D80" s="53"/>
      <c r="E80" s="56"/>
      <c r="F80" s="56"/>
      <c r="G80" s="56"/>
      <c r="H80" s="56"/>
      <c r="I80" s="56"/>
      <c r="J80" s="56"/>
      <c r="K80" s="56"/>
      <c r="L80" s="56"/>
      <c r="M80" s="56"/>
      <c r="N80" s="53"/>
      <c r="O80" s="53"/>
      <c r="P80" s="1">
        <f>IF(AND(H80="Yes",K80=""),ROW(),"")</f>
      </c>
      <c r="Q80">
        <f>IF(C80="","",1+IF(I80="Yes",1,0))</f>
      </c>
      <c r="R80">
        <f>IF(AND(C80&lt;&gt;"",F80&lt;&gt;"",F80&lt;&gt;"Guest"),ROW(),"")</f>
      </c>
    </row>
    <row r="81" ht="19" customHeight="1" spans="1:18" x14ac:dyDescent="0.25">
      <c r="A81" s="1"/>
      <c r="B81" s="92">
        <f>IF(C81="","",ROW()-5)</f>
      </c>
      <c r="C81" s="53"/>
      <c r="D81" s="53"/>
      <c r="E81" s="56"/>
      <c r="F81" s="56"/>
      <c r="G81" s="56"/>
      <c r="H81" s="56"/>
      <c r="I81" s="56"/>
      <c r="J81" s="56"/>
      <c r="K81" s="56"/>
      <c r="L81" s="56"/>
      <c r="M81" s="56"/>
      <c r="N81" s="53"/>
      <c r="O81" s="53"/>
      <c r="P81" s="1">
        <f>IF(AND(H81="Yes",K81=""),ROW(),"")</f>
      </c>
      <c r="Q81">
        <f>IF(C81="","",1+IF(I81="Yes",1,0))</f>
      </c>
      <c r="R81">
        <f>IF(AND(C81&lt;&gt;"",F81&lt;&gt;"",F81&lt;&gt;"Guest"),ROW(),"")</f>
      </c>
    </row>
    <row r="82" ht="19" customHeight="1" spans="1:18" x14ac:dyDescent="0.25">
      <c r="A82" s="1"/>
      <c r="B82" s="91">
        <f>IF(C82="","",ROW()-5)</f>
      </c>
      <c r="C82" s="53"/>
      <c r="D82" s="53"/>
      <c r="E82" s="56"/>
      <c r="F82" s="56"/>
      <c r="G82" s="56"/>
      <c r="H82" s="56"/>
      <c r="I82" s="56"/>
      <c r="J82" s="56"/>
      <c r="K82" s="56"/>
      <c r="L82" s="56"/>
      <c r="M82" s="56"/>
      <c r="N82" s="53"/>
      <c r="O82" s="53"/>
      <c r="P82" s="1">
        <f>IF(AND(H82="Yes",K82=""),ROW(),"")</f>
      </c>
      <c r="Q82">
        <f>IF(C82="","",1+IF(I82="Yes",1,0))</f>
      </c>
      <c r="R82">
        <f>IF(AND(C82&lt;&gt;"",F82&lt;&gt;"",F82&lt;&gt;"Guest"),ROW(),"")</f>
      </c>
    </row>
    <row r="83" ht="19" customHeight="1" spans="1:18" x14ac:dyDescent="0.25">
      <c r="A83" s="1"/>
      <c r="B83" s="92">
        <f>IF(C83="","",ROW()-5)</f>
      </c>
      <c r="C83" s="53"/>
      <c r="D83" s="53"/>
      <c r="E83" s="56"/>
      <c r="F83" s="56"/>
      <c r="G83" s="56"/>
      <c r="H83" s="56"/>
      <c r="I83" s="56"/>
      <c r="J83" s="56"/>
      <c r="K83" s="56"/>
      <c r="L83" s="56"/>
      <c r="M83" s="56"/>
      <c r="N83" s="53"/>
      <c r="O83" s="53"/>
      <c r="P83" s="1">
        <f>IF(AND(H83="Yes",K83=""),ROW(),"")</f>
      </c>
      <c r="Q83">
        <f>IF(C83="","",1+IF(I83="Yes",1,0))</f>
      </c>
      <c r="R83">
        <f>IF(AND(C83&lt;&gt;"",F83&lt;&gt;"",F83&lt;&gt;"Guest"),ROW(),"")</f>
      </c>
    </row>
    <row r="84" ht="19" customHeight="1" spans="1:18" x14ac:dyDescent="0.25">
      <c r="A84" s="1"/>
      <c r="B84" s="91">
        <f>IF(C84="","",ROW()-5)</f>
      </c>
      <c r="C84" s="53"/>
      <c r="D84" s="53"/>
      <c r="E84" s="56"/>
      <c r="F84" s="56"/>
      <c r="G84" s="56"/>
      <c r="H84" s="56"/>
      <c r="I84" s="56"/>
      <c r="J84" s="56"/>
      <c r="K84" s="56"/>
      <c r="L84" s="56"/>
      <c r="M84" s="56"/>
      <c r="N84" s="53"/>
      <c r="O84" s="53"/>
      <c r="P84" s="1">
        <f>IF(AND(H84="Yes",K84=""),ROW(),"")</f>
      </c>
      <c r="Q84">
        <f>IF(C84="","",1+IF(I84="Yes",1,0))</f>
      </c>
      <c r="R84">
        <f>IF(AND(C84&lt;&gt;"",F84&lt;&gt;"",F84&lt;&gt;"Guest"),ROW(),"")</f>
      </c>
    </row>
    <row r="85" ht="19" customHeight="1" spans="1:18" x14ac:dyDescent="0.25">
      <c r="A85" s="1"/>
      <c r="B85" s="92">
        <f>IF(C85="","",ROW()-5)</f>
      </c>
      <c r="C85" s="53"/>
      <c r="D85" s="53"/>
      <c r="E85" s="56"/>
      <c r="F85" s="56"/>
      <c r="G85" s="56"/>
      <c r="H85" s="56"/>
      <c r="I85" s="56"/>
      <c r="J85" s="56"/>
      <c r="K85" s="56"/>
      <c r="L85" s="56"/>
      <c r="M85" s="56"/>
      <c r="N85" s="53"/>
      <c r="O85" s="53"/>
      <c r="P85" s="1">
        <f>IF(AND(H85="Yes",K85=""),ROW(),"")</f>
      </c>
      <c r="Q85">
        <f>IF(C85="","",1+IF(I85="Yes",1,0))</f>
      </c>
      <c r="R85">
        <f>IF(AND(C85&lt;&gt;"",F85&lt;&gt;"",F85&lt;&gt;"Guest"),ROW(),"")</f>
      </c>
    </row>
    <row r="86" ht="19" customHeight="1" spans="1:18" x14ac:dyDescent="0.25">
      <c r="A86" s="1"/>
      <c r="B86" s="91">
        <f>IF(C86="","",ROW()-5)</f>
      </c>
      <c r="C86" s="53"/>
      <c r="D86" s="53"/>
      <c r="E86" s="56"/>
      <c r="F86" s="56"/>
      <c r="G86" s="56"/>
      <c r="H86" s="56"/>
      <c r="I86" s="56"/>
      <c r="J86" s="56"/>
      <c r="K86" s="56"/>
      <c r="L86" s="56"/>
      <c r="M86" s="56"/>
      <c r="N86" s="53"/>
      <c r="O86" s="53"/>
      <c r="P86" s="1">
        <f>IF(AND(H86="Yes",K86=""),ROW(),"")</f>
      </c>
      <c r="Q86">
        <f>IF(C86="","",1+IF(I86="Yes",1,0))</f>
      </c>
      <c r="R86">
        <f>IF(AND(C86&lt;&gt;"",F86&lt;&gt;"",F86&lt;&gt;"Guest"),ROW(),"")</f>
      </c>
    </row>
    <row r="87" ht="19" customHeight="1" spans="1:18" x14ac:dyDescent="0.25">
      <c r="A87" s="1"/>
      <c r="B87" s="92">
        <f>IF(C87="","",ROW()-5)</f>
      </c>
      <c r="C87" s="53"/>
      <c r="D87" s="53"/>
      <c r="E87" s="56"/>
      <c r="F87" s="56"/>
      <c r="G87" s="56"/>
      <c r="H87" s="56"/>
      <c r="I87" s="56"/>
      <c r="J87" s="56"/>
      <c r="K87" s="56"/>
      <c r="L87" s="56"/>
      <c r="M87" s="56"/>
      <c r="N87" s="53"/>
      <c r="O87" s="53"/>
      <c r="P87" s="1">
        <f>IF(AND(H87="Yes",K87=""),ROW(),"")</f>
      </c>
      <c r="Q87">
        <f>IF(C87="","",1+IF(I87="Yes",1,0))</f>
      </c>
      <c r="R87">
        <f>IF(AND(C87&lt;&gt;"",F87&lt;&gt;"",F87&lt;&gt;"Guest"),ROW(),"")</f>
      </c>
    </row>
    <row r="88" ht="19" customHeight="1" spans="1:18" x14ac:dyDescent="0.25">
      <c r="A88" s="1"/>
      <c r="B88" s="91">
        <f>IF(C88="","",ROW()-5)</f>
      </c>
      <c r="C88" s="53"/>
      <c r="D88" s="53"/>
      <c r="E88" s="56"/>
      <c r="F88" s="56"/>
      <c r="G88" s="56"/>
      <c r="H88" s="56"/>
      <c r="I88" s="56"/>
      <c r="J88" s="56"/>
      <c r="K88" s="56"/>
      <c r="L88" s="56"/>
      <c r="M88" s="56"/>
      <c r="N88" s="53"/>
      <c r="O88" s="53"/>
      <c r="P88" s="1">
        <f>IF(AND(H88="Yes",K88=""),ROW(),"")</f>
      </c>
      <c r="Q88">
        <f>IF(C88="","",1+IF(I88="Yes",1,0))</f>
      </c>
      <c r="R88">
        <f>IF(AND(C88&lt;&gt;"",F88&lt;&gt;"",F88&lt;&gt;"Guest"),ROW(),"")</f>
      </c>
    </row>
    <row r="89" ht="19" customHeight="1" spans="1:18" x14ac:dyDescent="0.25">
      <c r="A89" s="1"/>
      <c r="B89" s="92">
        <f>IF(C89="","",ROW()-5)</f>
      </c>
      <c r="C89" s="53"/>
      <c r="D89" s="53"/>
      <c r="E89" s="56"/>
      <c r="F89" s="56"/>
      <c r="G89" s="56"/>
      <c r="H89" s="56"/>
      <c r="I89" s="56"/>
      <c r="J89" s="56"/>
      <c r="K89" s="56"/>
      <c r="L89" s="56"/>
      <c r="M89" s="56"/>
      <c r="N89" s="53"/>
      <c r="O89" s="53"/>
      <c r="P89" s="1">
        <f>IF(AND(H89="Yes",K89=""),ROW(),"")</f>
      </c>
      <c r="Q89">
        <f>IF(C89="","",1+IF(I89="Yes",1,0))</f>
      </c>
      <c r="R89">
        <f>IF(AND(C89&lt;&gt;"",F89&lt;&gt;"",F89&lt;&gt;"Guest"),ROW(),"")</f>
      </c>
    </row>
    <row r="90" ht="19" customHeight="1" spans="1:18" x14ac:dyDescent="0.25">
      <c r="A90" s="1"/>
      <c r="B90" s="91">
        <f>IF(C90="","",ROW()-5)</f>
      </c>
      <c r="C90" s="53"/>
      <c r="D90" s="53"/>
      <c r="E90" s="56"/>
      <c r="F90" s="56"/>
      <c r="G90" s="56"/>
      <c r="H90" s="56"/>
      <c r="I90" s="56"/>
      <c r="J90" s="56"/>
      <c r="K90" s="56"/>
      <c r="L90" s="56"/>
      <c r="M90" s="56"/>
      <c r="N90" s="53"/>
      <c r="O90" s="53"/>
      <c r="P90" s="1">
        <f>IF(AND(H90="Yes",K90=""),ROW(),"")</f>
      </c>
      <c r="Q90">
        <f>IF(C90="","",1+IF(I90="Yes",1,0))</f>
      </c>
      <c r="R90">
        <f>IF(AND(C90&lt;&gt;"",F90&lt;&gt;"",F90&lt;&gt;"Guest"),ROW(),"")</f>
      </c>
    </row>
    <row r="91" ht="19" customHeight="1" spans="1:18" x14ac:dyDescent="0.25">
      <c r="A91" s="1"/>
      <c r="B91" s="92">
        <f>IF(C91="","",ROW()-5)</f>
      </c>
      <c r="C91" s="53"/>
      <c r="D91" s="53"/>
      <c r="E91" s="56"/>
      <c r="F91" s="56"/>
      <c r="G91" s="56"/>
      <c r="H91" s="56"/>
      <c r="I91" s="56"/>
      <c r="J91" s="56"/>
      <c r="K91" s="56"/>
      <c r="L91" s="56"/>
      <c r="M91" s="56"/>
      <c r="N91" s="53"/>
      <c r="O91" s="53"/>
      <c r="P91" s="1">
        <f>IF(AND(H91="Yes",K91=""),ROW(),"")</f>
      </c>
      <c r="Q91">
        <f>IF(C91="","",1+IF(I91="Yes",1,0))</f>
      </c>
      <c r="R91">
        <f>IF(AND(C91&lt;&gt;"",F91&lt;&gt;"",F91&lt;&gt;"Guest"),ROW(),"")</f>
      </c>
    </row>
    <row r="92" ht="19" customHeight="1" spans="1:18" x14ac:dyDescent="0.25">
      <c r="A92" s="1"/>
      <c r="B92" s="91">
        <f>IF(C92="","",ROW()-5)</f>
      </c>
      <c r="C92" s="53"/>
      <c r="D92" s="53"/>
      <c r="E92" s="56"/>
      <c r="F92" s="56"/>
      <c r="G92" s="56"/>
      <c r="H92" s="56"/>
      <c r="I92" s="56"/>
      <c r="J92" s="56"/>
      <c r="K92" s="56"/>
      <c r="L92" s="56"/>
      <c r="M92" s="56"/>
      <c r="N92" s="53"/>
      <c r="O92" s="53"/>
      <c r="P92" s="1">
        <f>IF(AND(H92="Yes",K92=""),ROW(),"")</f>
      </c>
      <c r="Q92">
        <f>IF(C92="","",1+IF(I92="Yes",1,0))</f>
      </c>
      <c r="R92">
        <f>IF(AND(C92&lt;&gt;"",F92&lt;&gt;"",F92&lt;&gt;"Guest"),ROW(),"")</f>
      </c>
    </row>
    <row r="93" ht="19" customHeight="1" spans="1:18" x14ac:dyDescent="0.25">
      <c r="A93" s="1"/>
      <c r="B93" s="92">
        <f>IF(C93="","",ROW()-5)</f>
      </c>
      <c r="C93" s="53"/>
      <c r="D93" s="53"/>
      <c r="E93" s="56"/>
      <c r="F93" s="56"/>
      <c r="G93" s="56"/>
      <c r="H93" s="56"/>
      <c r="I93" s="56"/>
      <c r="J93" s="56"/>
      <c r="K93" s="56"/>
      <c r="L93" s="56"/>
      <c r="M93" s="56"/>
      <c r="N93" s="53"/>
      <c r="O93" s="53"/>
      <c r="P93" s="1">
        <f>IF(AND(H93="Yes",K93=""),ROW(),"")</f>
      </c>
      <c r="Q93">
        <f>IF(C93="","",1+IF(I93="Yes",1,0))</f>
      </c>
      <c r="R93">
        <f>IF(AND(C93&lt;&gt;"",F93&lt;&gt;"",F93&lt;&gt;"Guest"),ROW(),"")</f>
      </c>
    </row>
    <row r="94" ht="19" customHeight="1" spans="1:18" x14ac:dyDescent="0.25">
      <c r="A94" s="1"/>
      <c r="B94" s="91">
        <f>IF(C94="","",ROW()-5)</f>
      </c>
      <c r="C94" s="53"/>
      <c r="D94" s="53"/>
      <c r="E94" s="56"/>
      <c r="F94" s="56"/>
      <c r="G94" s="56"/>
      <c r="H94" s="56"/>
      <c r="I94" s="56"/>
      <c r="J94" s="56"/>
      <c r="K94" s="56"/>
      <c r="L94" s="56"/>
      <c r="M94" s="56"/>
      <c r="N94" s="53"/>
      <c r="O94" s="53"/>
      <c r="P94" s="1">
        <f>IF(AND(H94="Yes",K94=""),ROW(),"")</f>
      </c>
      <c r="Q94">
        <f>IF(C94="","",1+IF(I94="Yes",1,0))</f>
      </c>
      <c r="R94">
        <f>IF(AND(C94&lt;&gt;"",F94&lt;&gt;"",F94&lt;&gt;"Guest"),ROW(),"")</f>
      </c>
    </row>
    <row r="95" ht="19" customHeight="1" spans="1:18" x14ac:dyDescent="0.25">
      <c r="A95" s="1"/>
      <c r="B95" s="92">
        <f>IF(C95="","",ROW()-5)</f>
      </c>
      <c r="C95" s="53"/>
      <c r="D95" s="53"/>
      <c r="E95" s="56"/>
      <c r="F95" s="56"/>
      <c r="G95" s="56"/>
      <c r="H95" s="56"/>
      <c r="I95" s="56"/>
      <c r="J95" s="56"/>
      <c r="K95" s="56"/>
      <c r="L95" s="56"/>
      <c r="M95" s="56"/>
      <c r="N95" s="53"/>
      <c r="O95" s="53"/>
      <c r="P95" s="1">
        <f>IF(AND(H95="Yes",K95=""),ROW(),"")</f>
      </c>
      <c r="Q95">
        <f>IF(C95="","",1+IF(I95="Yes",1,0))</f>
      </c>
      <c r="R95">
        <f>IF(AND(C95&lt;&gt;"",F95&lt;&gt;"",F95&lt;&gt;"Guest"),ROW(),"")</f>
      </c>
    </row>
    <row r="96" ht="19" customHeight="1" spans="1:18" x14ac:dyDescent="0.25">
      <c r="A96" s="1"/>
      <c r="B96" s="91">
        <f>IF(C96="","",ROW()-5)</f>
      </c>
      <c r="C96" s="53"/>
      <c r="D96" s="53"/>
      <c r="E96" s="56"/>
      <c r="F96" s="56"/>
      <c r="G96" s="56"/>
      <c r="H96" s="56"/>
      <c r="I96" s="56"/>
      <c r="J96" s="56"/>
      <c r="K96" s="56"/>
      <c r="L96" s="56"/>
      <c r="M96" s="56"/>
      <c r="N96" s="53"/>
      <c r="O96" s="53"/>
      <c r="P96" s="1">
        <f>IF(AND(H96="Yes",K96=""),ROW(),"")</f>
      </c>
      <c r="Q96">
        <f>IF(C96="","",1+IF(I96="Yes",1,0))</f>
      </c>
      <c r="R96">
        <f>IF(AND(C96&lt;&gt;"",F96&lt;&gt;"",F96&lt;&gt;"Guest"),ROW(),"")</f>
      </c>
    </row>
    <row r="97" ht="19" customHeight="1" spans="1:18" x14ac:dyDescent="0.25">
      <c r="A97" s="1"/>
      <c r="B97" s="92">
        <f>IF(C97="","",ROW()-5)</f>
      </c>
      <c r="C97" s="53"/>
      <c r="D97" s="53"/>
      <c r="E97" s="56"/>
      <c r="F97" s="56"/>
      <c r="G97" s="56"/>
      <c r="H97" s="56"/>
      <c r="I97" s="56"/>
      <c r="J97" s="56"/>
      <c r="K97" s="56"/>
      <c r="L97" s="56"/>
      <c r="M97" s="56"/>
      <c r="N97" s="53"/>
      <c r="O97" s="53"/>
      <c r="P97" s="1">
        <f>IF(AND(H97="Yes",K97=""),ROW(),"")</f>
      </c>
      <c r="Q97">
        <f>IF(C97="","",1+IF(I97="Yes",1,0))</f>
      </c>
      <c r="R97">
        <f>IF(AND(C97&lt;&gt;"",F97&lt;&gt;"",F97&lt;&gt;"Guest"),ROW(),"")</f>
      </c>
    </row>
    <row r="98" ht="19" customHeight="1" spans="1:18" x14ac:dyDescent="0.25">
      <c r="A98" s="1"/>
      <c r="B98" s="91">
        <f>IF(C98="","",ROW()-5)</f>
      </c>
      <c r="C98" s="53"/>
      <c r="D98" s="53"/>
      <c r="E98" s="56"/>
      <c r="F98" s="56"/>
      <c r="G98" s="56"/>
      <c r="H98" s="56"/>
      <c r="I98" s="56"/>
      <c r="J98" s="56"/>
      <c r="K98" s="56"/>
      <c r="L98" s="56"/>
      <c r="M98" s="56"/>
      <c r="N98" s="53"/>
      <c r="O98" s="53"/>
      <c r="P98" s="1">
        <f>IF(AND(H98="Yes",K98=""),ROW(),"")</f>
      </c>
      <c r="Q98">
        <f>IF(C98="","",1+IF(I98="Yes",1,0))</f>
      </c>
      <c r="R98">
        <f>IF(AND(C98&lt;&gt;"",F98&lt;&gt;"",F98&lt;&gt;"Guest"),ROW(),"")</f>
      </c>
    </row>
    <row r="99" ht="19" customHeight="1" spans="1:18" x14ac:dyDescent="0.25">
      <c r="A99" s="1"/>
      <c r="B99" s="92">
        <f>IF(C99="","",ROW()-5)</f>
      </c>
      <c r="C99" s="53"/>
      <c r="D99" s="53"/>
      <c r="E99" s="56"/>
      <c r="F99" s="56"/>
      <c r="G99" s="56"/>
      <c r="H99" s="56"/>
      <c r="I99" s="56"/>
      <c r="J99" s="56"/>
      <c r="K99" s="56"/>
      <c r="L99" s="56"/>
      <c r="M99" s="56"/>
      <c r="N99" s="53"/>
      <c r="O99" s="53"/>
      <c r="P99" s="1">
        <f>IF(AND(H99="Yes",K99=""),ROW(),"")</f>
      </c>
      <c r="Q99">
        <f>IF(C99="","",1+IF(I99="Yes",1,0))</f>
      </c>
      <c r="R99">
        <f>IF(AND(C99&lt;&gt;"",F99&lt;&gt;"",F99&lt;&gt;"Guest"),ROW(),"")</f>
      </c>
    </row>
    <row r="100" ht="19" customHeight="1" spans="1:18" x14ac:dyDescent="0.25">
      <c r="A100" s="1"/>
      <c r="B100" s="91">
        <f>IF(C100="","",ROW()-5)</f>
      </c>
      <c r="C100" s="53"/>
      <c r="D100" s="53"/>
      <c r="E100" s="56"/>
      <c r="F100" s="56"/>
      <c r="G100" s="56"/>
      <c r="H100" s="56"/>
      <c r="I100" s="56"/>
      <c r="J100" s="56"/>
      <c r="K100" s="56"/>
      <c r="L100" s="56"/>
      <c r="M100" s="56"/>
      <c r="N100" s="53"/>
      <c r="O100" s="53"/>
      <c r="P100" s="1">
        <f>IF(AND(H100="Yes",K100=""),ROW(),"")</f>
      </c>
      <c r="Q100">
        <f>IF(C100="","",1+IF(I100="Yes",1,0))</f>
      </c>
      <c r="R100">
        <f>IF(AND(C100&lt;&gt;"",F100&lt;&gt;"",F100&lt;&gt;"Guest"),ROW(),"")</f>
      </c>
    </row>
    <row r="101" ht="19" customHeight="1" spans="1:18" x14ac:dyDescent="0.25">
      <c r="A101" s="1"/>
      <c r="B101" s="92">
        <f>IF(C101="","",ROW()-5)</f>
      </c>
      <c r="C101" s="53"/>
      <c r="D101" s="53"/>
      <c r="E101" s="56"/>
      <c r="F101" s="56"/>
      <c r="G101" s="56"/>
      <c r="H101" s="56"/>
      <c r="I101" s="56"/>
      <c r="J101" s="56"/>
      <c r="K101" s="56"/>
      <c r="L101" s="56"/>
      <c r="M101" s="56"/>
      <c r="N101" s="53"/>
      <c r="O101" s="53"/>
      <c r="P101" s="1">
        <f>IF(AND(H101="Yes",K101=""),ROW(),"")</f>
      </c>
      <c r="Q101">
        <f>IF(C101="","",1+IF(I101="Yes",1,0))</f>
      </c>
      <c r="R101">
        <f>IF(AND(C101&lt;&gt;"",F101&lt;&gt;"",F101&lt;&gt;"Guest"),ROW(),"")</f>
      </c>
    </row>
    <row r="102" ht="19" customHeight="1" spans="1:18" x14ac:dyDescent="0.25">
      <c r="A102" s="1"/>
      <c r="B102" s="91">
        <f>IF(C102="","",ROW()-5)</f>
      </c>
      <c r="C102" s="53"/>
      <c r="D102" s="53"/>
      <c r="E102" s="56"/>
      <c r="F102" s="56"/>
      <c r="G102" s="56"/>
      <c r="H102" s="56"/>
      <c r="I102" s="56"/>
      <c r="J102" s="56"/>
      <c r="K102" s="56"/>
      <c r="L102" s="56"/>
      <c r="M102" s="56"/>
      <c r="N102" s="53"/>
      <c r="O102" s="53"/>
      <c r="P102" s="1">
        <f>IF(AND(H102="Yes",K102=""),ROW(),"")</f>
      </c>
      <c r="Q102">
        <f>IF(C102="","",1+IF(I102="Yes",1,0))</f>
      </c>
      <c r="R102">
        <f>IF(AND(C102&lt;&gt;"",F102&lt;&gt;"",F102&lt;&gt;"Guest"),ROW(),"")</f>
      </c>
    </row>
    <row r="103" ht="19" customHeight="1" spans="1:18" x14ac:dyDescent="0.25">
      <c r="A103" s="1"/>
      <c r="B103" s="92">
        <f>IF(C103="","",ROW()-5)</f>
      </c>
      <c r="C103" s="53"/>
      <c r="D103" s="53"/>
      <c r="E103" s="56"/>
      <c r="F103" s="56"/>
      <c r="G103" s="56"/>
      <c r="H103" s="56"/>
      <c r="I103" s="56"/>
      <c r="J103" s="56"/>
      <c r="K103" s="56"/>
      <c r="L103" s="56"/>
      <c r="M103" s="56"/>
      <c r="N103" s="53"/>
      <c r="O103" s="53"/>
      <c r="P103" s="1">
        <f>IF(AND(H103="Yes",K103=""),ROW(),"")</f>
      </c>
      <c r="Q103">
        <f>IF(C103="","",1+IF(I103="Yes",1,0))</f>
      </c>
      <c r="R103">
        <f>IF(AND(C103&lt;&gt;"",F103&lt;&gt;"",F103&lt;&gt;"Guest"),ROW(),"")</f>
      </c>
    </row>
    <row r="104" ht="19" customHeight="1" spans="1:18" x14ac:dyDescent="0.25">
      <c r="A104" s="1"/>
      <c r="B104" s="91">
        <f>IF(C104="","",ROW()-5)</f>
      </c>
      <c r="C104" s="53"/>
      <c r="D104" s="53"/>
      <c r="E104" s="56"/>
      <c r="F104" s="56"/>
      <c r="G104" s="56"/>
      <c r="H104" s="56"/>
      <c r="I104" s="56"/>
      <c r="J104" s="56"/>
      <c r="K104" s="56"/>
      <c r="L104" s="56"/>
      <c r="M104" s="56"/>
      <c r="N104" s="53"/>
      <c r="O104" s="53"/>
      <c r="P104" s="1">
        <f>IF(AND(H104="Yes",K104=""),ROW(),"")</f>
      </c>
      <c r="Q104">
        <f>IF(C104="","",1+IF(I104="Yes",1,0))</f>
      </c>
      <c r="R104">
        <f>IF(AND(C104&lt;&gt;"",F104&lt;&gt;"",F104&lt;&gt;"Guest"),ROW(),"")</f>
      </c>
    </row>
    <row r="105" ht="19" customHeight="1" spans="1:18" x14ac:dyDescent="0.25">
      <c r="A105" s="1"/>
      <c r="B105" s="92">
        <f>IF(C105="","",ROW()-5)</f>
      </c>
      <c r="C105" s="53"/>
      <c r="D105" s="53"/>
      <c r="E105" s="56"/>
      <c r="F105" s="56"/>
      <c r="G105" s="56"/>
      <c r="H105" s="56"/>
      <c r="I105" s="56"/>
      <c r="J105" s="56"/>
      <c r="K105" s="56"/>
      <c r="L105" s="56"/>
      <c r="M105" s="56"/>
      <c r="N105" s="53"/>
      <c r="O105" s="53"/>
      <c r="P105" s="1">
        <f>IF(AND(H105="Yes",K105=""),ROW(),"")</f>
      </c>
      <c r="Q105">
        <f>IF(C105="","",1+IF(I105="Yes",1,0))</f>
      </c>
      <c r="R105">
        <f>IF(AND(C105&lt;&gt;"",F105&lt;&gt;"",F105&lt;&gt;"Guest"),ROW(),"")</f>
      </c>
    </row>
    <row r="106" ht="19" customHeight="1" spans="1:18" x14ac:dyDescent="0.25">
      <c r="A106" s="1"/>
      <c r="B106" s="91">
        <f>IF(C106="","",ROW()-5)</f>
      </c>
      <c r="C106" s="53"/>
      <c r="D106" s="53"/>
      <c r="E106" s="56"/>
      <c r="F106" s="56"/>
      <c r="G106" s="56"/>
      <c r="H106" s="56"/>
      <c r="I106" s="56"/>
      <c r="J106" s="56"/>
      <c r="K106" s="56"/>
      <c r="L106" s="56"/>
      <c r="M106" s="56"/>
      <c r="N106" s="53"/>
      <c r="O106" s="53"/>
      <c r="P106" s="1">
        <f>IF(AND(H106="Yes",K106=""),ROW(),"")</f>
      </c>
      <c r="Q106">
        <f>IF(C106="","",1+IF(I106="Yes",1,0))</f>
      </c>
      <c r="R106">
        <f>IF(AND(C106&lt;&gt;"",F106&lt;&gt;"",F106&lt;&gt;"Guest"),ROW(),"")</f>
      </c>
    </row>
    <row r="107" ht="19" customHeight="1" spans="1:18" x14ac:dyDescent="0.25">
      <c r="A107" s="1"/>
      <c r="B107" s="92">
        <f>IF(C107="","",ROW()-5)</f>
      </c>
      <c r="C107" s="53"/>
      <c r="D107" s="53"/>
      <c r="E107" s="56"/>
      <c r="F107" s="56"/>
      <c r="G107" s="56"/>
      <c r="H107" s="56"/>
      <c r="I107" s="56"/>
      <c r="J107" s="56"/>
      <c r="K107" s="56"/>
      <c r="L107" s="56"/>
      <c r="M107" s="56"/>
      <c r="N107" s="53"/>
      <c r="O107" s="53"/>
      <c r="P107" s="1">
        <f>IF(AND(H107="Yes",K107=""),ROW(),"")</f>
      </c>
      <c r="Q107">
        <f>IF(C107="","",1+IF(I107="Yes",1,0))</f>
      </c>
      <c r="R107">
        <f>IF(AND(C107&lt;&gt;"",F107&lt;&gt;"",F107&lt;&gt;"Guest"),ROW(),"")</f>
      </c>
    </row>
    <row r="108" ht="19" customHeight="1" spans="1:18" x14ac:dyDescent="0.25">
      <c r="A108" s="1"/>
      <c r="B108" s="91">
        <f>IF(C108="","",ROW()-5)</f>
      </c>
      <c r="C108" s="53"/>
      <c r="D108" s="53"/>
      <c r="E108" s="56"/>
      <c r="F108" s="56"/>
      <c r="G108" s="56"/>
      <c r="H108" s="56"/>
      <c r="I108" s="56"/>
      <c r="J108" s="56"/>
      <c r="K108" s="56"/>
      <c r="L108" s="56"/>
      <c r="M108" s="56"/>
      <c r="N108" s="53"/>
      <c r="O108" s="53"/>
      <c r="P108" s="1">
        <f>IF(AND(H108="Yes",K108=""),ROW(),"")</f>
      </c>
      <c r="Q108">
        <f>IF(C108="","",1+IF(I108="Yes",1,0))</f>
      </c>
      <c r="R108">
        <f>IF(AND(C108&lt;&gt;"",F108&lt;&gt;"",F108&lt;&gt;"Guest"),ROW(),"")</f>
      </c>
    </row>
    <row r="109" ht="19" customHeight="1" spans="1:18" x14ac:dyDescent="0.25">
      <c r="A109" s="1"/>
      <c r="B109" s="92">
        <f>IF(C109="","",ROW()-5)</f>
      </c>
      <c r="C109" s="53"/>
      <c r="D109" s="53"/>
      <c r="E109" s="56"/>
      <c r="F109" s="56"/>
      <c r="G109" s="56"/>
      <c r="H109" s="56"/>
      <c r="I109" s="56"/>
      <c r="J109" s="56"/>
      <c r="K109" s="56"/>
      <c r="L109" s="56"/>
      <c r="M109" s="56"/>
      <c r="N109" s="53"/>
      <c r="O109" s="53"/>
      <c r="P109" s="1">
        <f>IF(AND(H109="Yes",K109=""),ROW(),"")</f>
      </c>
      <c r="Q109">
        <f>IF(C109="","",1+IF(I109="Yes",1,0))</f>
      </c>
      <c r="R109">
        <f>IF(AND(C109&lt;&gt;"",F109&lt;&gt;"",F109&lt;&gt;"Guest"),ROW(),"")</f>
      </c>
    </row>
    <row r="110" ht="19" customHeight="1" spans="1:18" x14ac:dyDescent="0.25">
      <c r="A110" s="1"/>
      <c r="B110" s="91">
        <f>IF(C110="","",ROW()-5)</f>
      </c>
      <c r="C110" s="53"/>
      <c r="D110" s="53"/>
      <c r="E110" s="56"/>
      <c r="F110" s="56"/>
      <c r="G110" s="56"/>
      <c r="H110" s="56"/>
      <c r="I110" s="56"/>
      <c r="J110" s="56"/>
      <c r="K110" s="56"/>
      <c r="L110" s="56"/>
      <c r="M110" s="56"/>
      <c r="N110" s="53"/>
      <c r="O110" s="53"/>
      <c r="P110" s="1">
        <f>IF(AND(H110="Yes",K110=""),ROW(),"")</f>
      </c>
      <c r="Q110">
        <f>IF(C110="","",1+IF(I110="Yes",1,0))</f>
      </c>
      <c r="R110">
        <f>IF(AND(C110&lt;&gt;"",F110&lt;&gt;"",F110&lt;&gt;"Guest"),ROW(),"")</f>
      </c>
    </row>
    <row r="111" ht="19" customHeight="1" spans="1:18" x14ac:dyDescent="0.25">
      <c r="A111" s="1"/>
      <c r="B111" s="92">
        <f>IF(C111="","",ROW()-5)</f>
      </c>
      <c r="C111" s="53"/>
      <c r="D111" s="53"/>
      <c r="E111" s="56"/>
      <c r="F111" s="56"/>
      <c r="G111" s="56"/>
      <c r="H111" s="56"/>
      <c r="I111" s="56"/>
      <c r="J111" s="56"/>
      <c r="K111" s="56"/>
      <c r="L111" s="56"/>
      <c r="M111" s="56"/>
      <c r="N111" s="53"/>
      <c r="O111" s="53"/>
      <c r="P111" s="1">
        <f>IF(AND(H111="Yes",K111=""),ROW(),"")</f>
      </c>
      <c r="Q111">
        <f>IF(C111="","",1+IF(I111="Yes",1,0))</f>
      </c>
      <c r="R111">
        <f>IF(AND(C111&lt;&gt;"",F111&lt;&gt;"",F111&lt;&gt;"Guest"),ROW(),"")</f>
      </c>
    </row>
    <row r="112" ht="19" customHeight="1" spans="1:18" x14ac:dyDescent="0.25">
      <c r="A112" s="1"/>
      <c r="B112" s="91">
        <f>IF(C112="","",ROW()-5)</f>
      </c>
      <c r="C112" s="53"/>
      <c r="D112" s="53"/>
      <c r="E112" s="56"/>
      <c r="F112" s="56"/>
      <c r="G112" s="56"/>
      <c r="H112" s="56"/>
      <c r="I112" s="56"/>
      <c r="J112" s="56"/>
      <c r="K112" s="56"/>
      <c r="L112" s="56"/>
      <c r="M112" s="56"/>
      <c r="N112" s="53"/>
      <c r="O112" s="53"/>
      <c r="P112" s="1">
        <f>IF(AND(H112="Yes",K112=""),ROW(),"")</f>
      </c>
      <c r="Q112">
        <f>IF(C112="","",1+IF(I112="Yes",1,0))</f>
      </c>
      <c r="R112">
        <f>IF(AND(C112&lt;&gt;"",F112&lt;&gt;"",F112&lt;&gt;"Guest"),ROW(),"")</f>
      </c>
    </row>
    <row r="113" ht="19" customHeight="1" spans="1:18" x14ac:dyDescent="0.25">
      <c r="A113" s="1"/>
      <c r="B113" s="92">
        <f>IF(C113="","",ROW()-5)</f>
      </c>
      <c r="C113" s="53"/>
      <c r="D113" s="53"/>
      <c r="E113" s="56"/>
      <c r="F113" s="56"/>
      <c r="G113" s="56"/>
      <c r="H113" s="56"/>
      <c r="I113" s="56"/>
      <c r="J113" s="56"/>
      <c r="K113" s="56"/>
      <c r="L113" s="56"/>
      <c r="M113" s="56"/>
      <c r="N113" s="53"/>
      <c r="O113" s="53"/>
      <c r="P113" s="1">
        <f>IF(AND(H113="Yes",K113=""),ROW(),"")</f>
      </c>
      <c r="Q113">
        <f>IF(C113="","",1+IF(I113="Yes",1,0))</f>
      </c>
      <c r="R113">
        <f>IF(AND(C113&lt;&gt;"",F113&lt;&gt;"",F113&lt;&gt;"Guest"),ROW(),"")</f>
      </c>
    </row>
    <row r="114" ht="19" customHeight="1" spans="1:18" x14ac:dyDescent="0.25">
      <c r="A114" s="1"/>
      <c r="B114" s="91">
        <f>IF(C114="","",ROW()-5)</f>
      </c>
      <c r="C114" s="53"/>
      <c r="D114" s="53"/>
      <c r="E114" s="56"/>
      <c r="F114" s="56"/>
      <c r="G114" s="56"/>
      <c r="H114" s="56"/>
      <c r="I114" s="56"/>
      <c r="J114" s="56"/>
      <c r="K114" s="56"/>
      <c r="L114" s="56"/>
      <c r="M114" s="56"/>
      <c r="N114" s="53"/>
      <c r="O114" s="53"/>
      <c r="P114" s="1">
        <f>IF(AND(H114="Yes",K114=""),ROW(),"")</f>
      </c>
      <c r="Q114">
        <f>IF(C114="","",1+IF(I114="Yes",1,0))</f>
      </c>
      <c r="R114">
        <f>IF(AND(C114&lt;&gt;"",F114&lt;&gt;"",F114&lt;&gt;"Guest"),ROW(),"")</f>
      </c>
    </row>
    <row r="115" ht="19" customHeight="1" spans="1:18" x14ac:dyDescent="0.25">
      <c r="A115" s="1"/>
      <c r="B115" s="92">
        <f>IF(C115="","",ROW()-5)</f>
      </c>
      <c r="C115" s="53"/>
      <c r="D115" s="53"/>
      <c r="E115" s="56"/>
      <c r="F115" s="56"/>
      <c r="G115" s="56"/>
      <c r="H115" s="56"/>
      <c r="I115" s="56"/>
      <c r="J115" s="56"/>
      <c r="K115" s="56"/>
      <c r="L115" s="56"/>
      <c r="M115" s="56"/>
      <c r="N115" s="53"/>
      <c r="O115" s="53"/>
      <c r="P115" s="1">
        <f>IF(AND(H115="Yes",K115=""),ROW(),"")</f>
      </c>
      <c r="Q115">
        <f>IF(C115="","",1+IF(I115="Yes",1,0))</f>
      </c>
      <c r="R115">
        <f>IF(AND(C115&lt;&gt;"",F115&lt;&gt;"",F115&lt;&gt;"Guest"),ROW(),"")</f>
      </c>
    </row>
    <row r="116" ht="19" customHeight="1" spans="1:18" x14ac:dyDescent="0.25">
      <c r="A116" s="1"/>
      <c r="B116" s="91">
        <f>IF(C116="","",ROW()-5)</f>
      </c>
      <c r="C116" s="53"/>
      <c r="D116" s="53"/>
      <c r="E116" s="56"/>
      <c r="F116" s="56"/>
      <c r="G116" s="56"/>
      <c r="H116" s="56"/>
      <c r="I116" s="56"/>
      <c r="J116" s="56"/>
      <c r="K116" s="56"/>
      <c r="L116" s="56"/>
      <c r="M116" s="56"/>
      <c r="N116" s="53"/>
      <c r="O116" s="53"/>
      <c r="P116" s="1">
        <f>IF(AND(H116="Yes",K116=""),ROW(),"")</f>
      </c>
      <c r="Q116">
        <f>IF(C116="","",1+IF(I116="Yes",1,0))</f>
      </c>
      <c r="R116">
        <f>IF(AND(C116&lt;&gt;"",F116&lt;&gt;"",F116&lt;&gt;"Guest"),ROW(),"")</f>
      </c>
    </row>
    <row r="117" ht="19" customHeight="1" spans="1:18" x14ac:dyDescent="0.25">
      <c r="A117" s="1"/>
      <c r="B117" s="92">
        <f>IF(C117="","",ROW()-5)</f>
      </c>
      <c r="C117" s="53"/>
      <c r="D117" s="53"/>
      <c r="E117" s="56"/>
      <c r="F117" s="56"/>
      <c r="G117" s="56"/>
      <c r="H117" s="56"/>
      <c r="I117" s="56"/>
      <c r="J117" s="56"/>
      <c r="K117" s="56"/>
      <c r="L117" s="56"/>
      <c r="M117" s="56"/>
      <c r="N117" s="53"/>
      <c r="O117" s="53"/>
      <c r="P117" s="1">
        <f>IF(AND(H117="Yes",K117=""),ROW(),"")</f>
      </c>
      <c r="Q117">
        <f>IF(C117="","",1+IF(I117="Yes",1,0))</f>
      </c>
      <c r="R117">
        <f>IF(AND(C117&lt;&gt;"",F117&lt;&gt;"",F117&lt;&gt;"Guest"),ROW(),"")</f>
      </c>
    </row>
    <row r="118" ht="19" customHeight="1" spans="1:18" x14ac:dyDescent="0.25">
      <c r="A118" s="1"/>
      <c r="B118" s="91">
        <f>IF(C118="","",ROW()-5)</f>
      </c>
      <c r="C118" s="53"/>
      <c r="D118" s="53"/>
      <c r="E118" s="56"/>
      <c r="F118" s="56"/>
      <c r="G118" s="56"/>
      <c r="H118" s="56"/>
      <c r="I118" s="56"/>
      <c r="J118" s="56"/>
      <c r="K118" s="56"/>
      <c r="L118" s="56"/>
      <c r="M118" s="56"/>
      <c r="N118" s="53"/>
      <c r="O118" s="53"/>
      <c r="P118" s="1">
        <f>IF(AND(H118="Yes",K118=""),ROW(),"")</f>
      </c>
      <c r="Q118">
        <f>IF(C118="","",1+IF(I118="Yes",1,0))</f>
      </c>
      <c r="R118">
        <f>IF(AND(C118&lt;&gt;"",F118&lt;&gt;"",F118&lt;&gt;"Guest"),ROW(),"")</f>
      </c>
    </row>
    <row r="119" ht="19" customHeight="1" spans="1:18" x14ac:dyDescent="0.25">
      <c r="A119" s="1"/>
      <c r="B119" s="92">
        <f>IF(C119="","",ROW()-5)</f>
      </c>
      <c r="C119" s="53"/>
      <c r="D119" s="53"/>
      <c r="E119" s="56"/>
      <c r="F119" s="56"/>
      <c r="G119" s="56"/>
      <c r="H119" s="56"/>
      <c r="I119" s="56"/>
      <c r="J119" s="56"/>
      <c r="K119" s="56"/>
      <c r="L119" s="56"/>
      <c r="M119" s="56"/>
      <c r="N119" s="53"/>
      <c r="O119" s="53"/>
      <c r="P119" s="1">
        <f>IF(AND(H119="Yes",K119=""),ROW(),"")</f>
      </c>
      <c r="Q119">
        <f>IF(C119="","",1+IF(I119="Yes",1,0))</f>
      </c>
      <c r="R119">
        <f>IF(AND(C119&lt;&gt;"",F119&lt;&gt;"",F119&lt;&gt;"Guest"),ROW(),"")</f>
      </c>
    </row>
    <row r="120" ht="19" customHeight="1" spans="1:18" x14ac:dyDescent="0.25">
      <c r="A120" s="1"/>
      <c r="B120" s="91">
        <f>IF(C120="","",ROW()-5)</f>
      </c>
      <c r="C120" s="53"/>
      <c r="D120" s="53"/>
      <c r="E120" s="56"/>
      <c r="F120" s="56"/>
      <c r="G120" s="56"/>
      <c r="H120" s="56"/>
      <c r="I120" s="56"/>
      <c r="J120" s="56"/>
      <c r="K120" s="56"/>
      <c r="L120" s="56"/>
      <c r="M120" s="56"/>
      <c r="N120" s="53"/>
      <c r="O120" s="53"/>
      <c r="P120" s="1">
        <f>IF(AND(H120="Yes",K120=""),ROW(),"")</f>
      </c>
      <c r="Q120">
        <f>IF(C120="","",1+IF(I120="Yes",1,0))</f>
      </c>
      <c r="R120">
        <f>IF(AND(C120&lt;&gt;"",F120&lt;&gt;"",F120&lt;&gt;"Guest"),ROW(),"")</f>
      </c>
    </row>
    <row r="121" ht="19" customHeight="1" spans="1:18" x14ac:dyDescent="0.25">
      <c r="A121" s="1"/>
      <c r="B121" s="92">
        <f>IF(C121="","",ROW()-5)</f>
      </c>
      <c r="C121" s="53"/>
      <c r="D121" s="53"/>
      <c r="E121" s="56"/>
      <c r="F121" s="56"/>
      <c r="G121" s="56"/>
      <c r="H121" s="56"/>
      <c r="I121" s="56"/>
      <c r="J121" s="56"/>
      <c r="K121" s="56"/>
      <c r="L121" s="56"/>
      <c r="M121" s="56"/>
      <c r="N121" s="53"/>
      <c r="O121" s="53"/>
      <c r="P121" s="1">
        <f>IF(AND(H121="Yes",K121=""),ROW(),"")</f>
      </c>
      <c r="Q121">
        <f>IF(C121="","",1+IF(I121="Yes",1,0))</f>
      </c>
      <c r="R121">
        <f>IF(AND(C121&lt;&gt;"",F121&lt;&gt;"",F121&lt;&gt;"Guest"),ROW(),"")</f>
      </c>
    </row>
    <row r="122" ht="19" customHeight="1" spans="1:18" x14ac:dyDescent="0.25">
      <c r="A122" s="1"/>
      <c r="B122" s="91">
        <f>IF(C122="","",ROW()-5)</f>
      </c>
      <c r="C122" s="53"/>
      <c r="D122" s="53"/>
      <c r="E122" s="56"/>
      <c r="F122" s="56"/>
      <c r="G122" s="56"/>
      <c r="H122" s="56"/>
      <c r="I122" s="56"/>
      <c r="J122" s="56"/>
      <c r="K122" s="56"/>
      <c r="L122" s="56"/>
      <c r="M122" s="56"/>
      <c r="N122" s="53"/>
      <c r="O122" s="53"/>
      <c r="P122" s="1">
        <f>IF(AND(H122="Yes",K122=""),ROW(),"")</f>
      </c>
      <c r="Q122">
        <f>IF(C122="","",1+IF(I122="Yes",1,0))</f>
      </c>
      <c r="R122">
        <f>IF(AND(C122&lt;&gt;"",F122&lt;&gt;"",F122&lt;&gt;"Guest"),ROW(),"")</f>
      </c>
    </row>
    <row r="123" ht="19" customHeight="1" spans="1:18" x14ac:dyDescent="0.25">
      <c r="A123" s="1"/>
      <c r="B123" s="92">
        <f>IF(C123="","",ROW()-5)</f>
      </c>
      <c r="C123" s="53"/>
      <c r="D123" s="53"/>
      <c r="E123" s="56"/>
      <c r="F123" s="56"/>
      <c r="G123" s="56"/>
      <c r="H123" s="56"/>
      <c r="I123" s="56"/>
      <c r="J123" s="56"/>
      <c r="K123" s="56"/>
      <c r="L123" s="56"/>
      <c r="M123" s="56"/>
      <c r="N123" s="53"/>
      <c r="O123" s="53"/>
      <c r="P123" s="1">
        <f>IF(AND(H123="Yes",K123=""),ROW(),"")</f>
      </c>
      <c r="Q123">
        <f>IF(C123="","",1+IF(I123="Yes",1,0))</f>
      </c>
      <c r="R123">
        <f>IF(AND(C123&lt;&gt;"",F123&lt;&gt;"",F123&lt;&gt;"Guest"),ROW(),"")</f>
      </c>
    </row>
    <row r="124" ht="19" customHeight="1" spans="1:18" x14ac:dyDescent="0.25">
      <c r="A124" s="1"/>
      <c r="B124" s="91">
        <f>IF(C124="","",ROW()-5)</f>
      </c>
      <c r="C124" s="53"/>
      <c r="D124" s="53"/>
      <c r="E124" s="56"/>
      <c r="F124" s="56"/>
      <c r="G124" s="56"/>
      <c r="H124" s="56"/>
      <c r="I124" s="56"/>
      <c r="J124" s="56"/>
      <c r="K124" s="56"/>
      <c r="L124" s="56"/>
      <c r="M124" s="56"/>
      <c r="N124" s="53"/>
      <c r="O124" s="53"/>
      <c r="P124" s="1">
        <f>IF(AND(H124="Yes",K124=""),ROW(),"")</f>
      </c>
      <c r="Q124">
        <f>IF(C124="","",1+IF(I124="Yes",1,0))</f>
      </c>
      <c r="R124">
        <f>IF(AND(C124&lt;&gt;"",F124&lt;&gt;"",F124&lt;&gt;"Guest"),ROW(),"")</f>
      </c>
    </row>
    <row r="125" ht="19" customHeight="1" spans="1:18" x14ac:dyDescent="0.25">
      <c r="A125" s="1"/>
      <c r="B125" s="92">
        <f>IF(C125="","",ROW()-5)</f>
      </c>
      <c r="C125" s="53"/>
      <c r="D125" s="53"/>
      <c r="E125" s="56"/>
      <c r="F125" s="56"/>
      <c r="G125" s="56"/>
      <c r="H125" s="56"/>
      <c r="I125" s="56"/>
      <c r="J125" s="56"/>
      <c r="K125" s="56"/>
      <c r="L125" s="56"/>
      <c r="M125" s="56"/>
      <c r="N125" s="53"/>
      <c r="O125" s="53"/>
      <c r="P125" s="1">
        <f>IF(AND(H125="Yes",K125=""),ROW(),"")</f>
      </c>
      <c r="Q125">
        <f>IF(C125="","",1+IF(I125="Yes",1,0))</f>
      </c>
      <c r="R125">
        <f>IF(AND(C125&lt;&gt;"",F125&lt;&gt;"",F125&lt;&gt;"Guest"),ROW(),"")</f>
      </c>
    </row>
    <row r="126" ht="19" customHeight="1" spans="1:18" x14ac:dyDescent="0.25">
      <c r="A126" s="1"/>
      <c r="B126" s="91">
        <f>IF(C126="","",ROW()-5)</f>
      </c>
      <c r="C126" s="53"/>
      <c r="D126" s="53"/>
      <c r="E126" s="56"/>
      <c r="F126" s="56"/>
      <c r="G126" s="56"/>
      <c r="H126" s="56"/>
      <c r="I126" s="56"/>
      <c r="J126" s="56"/>
      <c r="K126" s="56"/>
      <c r="L126" s="56"/>
      <c r="M126" s="56"/>
      <c r="N126" s="53"/>
      <c r="O126" s="53"/>
      <c r="P126" s="1">
        <f>IF(AND(H126="Yes",K126=""),ROW(),"")</f>
      </c>
      <c r="Q126">
        <f>IF(C126="","",1+IF(I126="Yes",1,0))</f>
      </c>
      <c r="R126">
        <f>IF(AND(C126&lt;&gt;"",F126&lt;&gt;"",F126&lt;&gt;"Guest"),ROW(),"")</f>
      </c>
    </row>
    <row r="127" ht="19" customHeight="1" spans="1:18" x14ac:dyDescent="0.25">
      <c r="A127" s="1"/>
      <c r="B127" s="92">
        <f>IF(C127="","",ROW()-5)</f>
      </c>
      <c r="C127" s="53"/>
      <c r="D127" s="53"/>
      <c r="E127" s="56"/>
      <c r="F127" s="56"/>
      <c r="G127" s="56"/>
      <c r="H127" s="56"/>
      <c r="I127" s="56"/>
      <c r="J127" s="56"/>
      <c r="K127" s="56"/>
      <c r="L127" s="56"/>
      <c r="M127" s="56"/>
      <c r="N127" s="53"/>
      <c r="O127" s="53"/>
      <c r="P127" s="1">
        <f>IF(AND(H127="Yes",K127=""),ROW(),"")</f>
      </c>
      <c r="Q127">
        <f>IF(C127="","",1+IF(I127="Yes",1,0))</f>
      </c>
      <c r="R127">
        <f>IF(AND(C127&lt;&gt;"",F127&lt;&gt;"",F127&lt;&gt;"Guest"),ROW(),"")</f>
      </c>
    </row>
    <row r="128" ht="19" customHeight="1" spans="1:18" x14ac:dyDescent="0.25">
      <c r="A128" s="1"/>
      <c r="B128" s="91">
        <f>IF(C128="","",ROW()-5)</f>
      </c>
      <c r="C128" s="53"/>
      <c r="D128" s="53"/>
      <c r="E128" s="56"/>
      <c r="F128" s="56"/>
      <c r="G128" s="56"/>
      <c r="H128" s="56"/>
      <c r="I128" s="56"/>
      <c r="J128" s="56"/>
      <c r="K128" s="56"/>
      <c r="L128" s="56"/>
      <c r="M128" s="56"/>
      <c r="N128" s="53"/>
      <c r="O128" s="53"/>
      <c r="P128" s="1">
        <f>IF(AND(H128="Yes",K128=""),ROW(),"")</f>
      </c>
      <c r="Q128">
        <f>IF(C128="","",1+IF(I128="Yes",1,0))</f>
      </c>
      <c r="R128">
        <f>IF(AND(C128&lt;&gt;"",F128&lt;&gt;"",F128&lt;&gt;"Guest"),ROW(),"")</f>
      </c>
    </row>
    <row r="129" ht="19" customHeight="1" spans="1:18" x14ac:dyDescent="0.25">
      <c r="A129" s="1"/>
      <c r="B129" s="92">
        <f>IF(C129="","",ROW()-5)</f>
      </c>
      <c r="C129" s="53"/>
      <c r="D129" s="53"/>
      <c r="E129" s="56"/>
      <c r="F129" s="56"/>
      <c r="G129" s="56"/>
      <c r="H129" s="56"/>
      <c r="I129" s="56"/>
      <c r="J129" s="56"/>
      <c r="K129" s="56"/>
      <c r="L129" s="56"/>
      <c r="M129" s="56"/>
      <c r="N129" s="53"/>
      <c r="O129" s="53"/>
      <c r="P129" s="1">
        <f>IF(AND(H129="Yes",K129=""),ROW(),"")</f>
      </c>
      <c r="Q129">
        <f>IF(C129="","",1+IF(I129="Yes",1,0))</f>
      </c>
      <c r="R129">
        <f>IF(AND(C129&lt;&gt;"",F129&lt;&gt;"",F129&lt;&gt;"Guest"),ROW(),"")</f>
      </c>
    </row>
    <row r="130" ht="19" customHeight="1" spans="1:18" x14ac:dyDescent="0.25">
      <c r="A130" s="1"/>
      <c r="B130" s="91">
        <f>IF(C130="","",ROW()-5)</f>
      </c>
      <c r="C130" s="53"/>
      <c r="D130" s="53"/>
      <c r="E130" s="56"/>
      <c r="F130" s="56"/>
      <c r="G130" s="56"/>
      <c r="H130" s="56"/>
      <c r="I130" s="56"/>
      <c r="J130" s="56"/>
      <c r="K130" s="56"/>
      <c r="L130" s="56"/>
      <c r="M130" s="56"/>
      <c r="N130" s="53"/>
      <c r="O130" s="53"/>
      <c r="P130" s="1">
        <f>IF(AND(H130="Yes",K130=""),ROW(),"")</f>
      </c>
      <c r="Q130">
        <f>IF(C130="","",1+IF(I130="Yes",1,0))</f>
      </c>
      <c r="R130">
        <f>IF(AND(C130&lt;&gt;"",F130&lt;&gt;"",F130&lt;&gt;"Guest"),ROW(),"")</f>
      </c>
    </row>
    <row r="131" ht="19" customHeight="1" spans="1:18" x14ac:dyDescent="0.25">
      <c r="A131" s="1"/>
      <c r="B131" s="92">
        <f>IF(C131="","",ROW()-5)</f>
      </c>
      <c r="C131" s="53"/>
      <c r="D131" s="53"/>
      <c r="E131" s="56"/>
      <c r="F131" s="56"/>
      <c r="G131" s="56"/>
      <c r="H131" s="56"/>
      <c r="I131" s="56"/>
      <c r="J131" s="56"/>
      <c r="K131" s="56"/>
      <c r="L131" s="56"/>
      <c r="M131" s="56"/>
      <c r="N131" s="53"/>
      <c r="O131" s="53"/>
      <c r="P131" s="1">
        <f>IF(AND(H131="Yes",K131=""),ROW(),"")</f>
      </c>
      <c r="Q131">
        <f>IF(C131="","",1+IF(I131="Yes",1,0))</f>
      </c>
      <c r="R131">
        <f>IF(AND(C131&lt;&gt;"",F131&lt;&gt;"",F131&lt;&gt;"Guest"),ROW(),"")</f>
      </c>
    </row>
    <row r="132" ht="19" customHeight="1" spans="1:18" x14ac:dyDescent="0.25">
      <c r="A132" s="1"/>
      <c r="B132" s="91">
        <f>IF(C132="","",ROW()-5)</f>
      </c>
      <c r="C132" s="53"/>
      <c r="D132" s="53"/>
      <c r="E132" s="56"/>
      <c r="F132" s="56"/>
      <c r="G132" s="56"/>
      <c r="H132" s="56"/>
      <c r="I132" s="56"/>
      <c r="J132" s="56"/>
      <c r="K132" s="56"/>
      <c r="L132" s="56"/>
      <c r="M132" s="56"/>
      <c r="N132" s="53"/>
      <c r="O132" s="53"/>
      <c r="P132" s="1">
        <f>IF(AND(H132="Yes",K132=""),ROW(),"")</f>
      </c>
      <c r="Q132">
        <f>IF(C132="","",1+IF(I132="Yes",1,0))</f>
      </c>
      <c r="R132">
        <f>IF(AND(C132&lt;&gt;"",F132&lt;&gt;"",F132&lt;&gt;"Guest"),ROW(),"")</f>
      </c>
    </row>
    <row r="133" ht="19" customHeight="1" spans="1:18" x14ac:dyDescent="0.25">
      <c r="A133" s="1"/>
      <c r="B133" s="92">
        <f>IF(C133="","",ROW()-5)</f>
      </c>
      <c r="C133" s="53"/>
      <c r="D133" s="53"/>
      <c r="E133" s="56"/>
      <c r="F133" s="56"/>
      <c r="G133" s="56"/>
      <c r="H133" s="56"/>
      <c r="I133" s="56"/>
      <c r="J133" s="56"/>
      <c r="K133" s="56"/>
      <c r="L133" s="56"/>
      <c r="M133" s="56"/>
      <c r="N133" s="53"/>
      <c r="O133" s="53"/>
      <c r="P133" s="1">
        <f>IF(AND(H133="Yes",K133=""),ROW(),"")</f>
      </c>
      <c r="Q133">
        <f>IF(C133="","",1+IF(I133="Yes",1,0))</f>
      </c>
      <c r="R133">
        <f>IF(AND(C133&lt;&gt;"",F133&lt;&gt;"",F133&lt;&gt;"Guest"),ROW(),"")</f>
      </c>
    </row>
    <row r="134" ht="19" customHeight="1" spans="1:18" x14ac:dyDescent="0.25">
      <c r="A134" s="1"/>
      <c r="B134" s="91">
        <f>IF(C134="","",ROW()-5)</f>
      </c>
      <c r="C134" s="53"/>
      <c r="D134" s="53"/>
      <c r="E134" s="56"/>
      <c r="F134" s="56"/>
      <c r="G134" s="56"/>
      <c r="H134" s="56"/>
      <c r="I134" s="56"/>
      <c r="J134" s="56"/>
      <c r="K134" s="56"/>
      <c r="L134" s="56"/>
      <c r="M134" s="56"/>
      <c r="N134" s="53"/>
      <c r="O134" s="53"/>
      <c r="P134" s="1">
        <f>IF(AND(H134="Yes",K134=""),ROW(),"")</f>
      </c>
      <c r="Q134">
        <f>IF(C134="","",1+IF(I134="Yes",1,0))</f>
      </c>
      <c r="R134">
        <f>IF(AND(C134&lt;&gt;"",F134&lt;&gt;"",F134&lt;&gt;"Guest"),ROW(),"")</f>
      </c>
    </row>
    <row r="135" ht="19" customHeight="1" spans="1:18" x14ac:dyDescent="0.25">
      <c r="A135" s="1"/>
      <c r="B135" s="92">
        <f>IF(C135="","",ROW()-5)</f>
      </c>
      <c r="C135" s="53"/>
      <c r="D135" s="53"/>
      <c r="E135" s="56"/>
      <c r="F135" s="56"/>
      <c r="G135" s="56"/>
      <c r="H135" s="56"/>
      <c r="I135" s="56"/>
      <c r="J135" s="56"/>
      <c r="K135" s="56"/>
      <c r="L135" s="56"/>
      <c r="M135" s="56"/>
      <c r="N135" s="53"/>
      <c r="O135" s="53"/>
      <c r="P135" s="1">
        <f>IF(AND(H135="Yes",K135=""),ROW(),"")</f>
      </c>
      <c r="Q135">
        <f>IF(C135="","",1+IF(I135="Yes",1,0))</f>
      </c>
      <c r="R135">
        <f>IF(AND(C135&lt;&gt;"",F135&lt;&gt;"",F135&lt;&gt;"Guest"),ROW(),"")</f>
      </c>
    </row>
    <row r="136" ht="19" customHeight="1" spans="1:18" x14ac:dyDescent="0.25">
      <c r="A136" s="1"/>
      <c r="B136" s="91">
        <f>IF(C136="","",ROW()-5)</f>
      </c>
      <c r="C136" s="53"/>
      <c r="D136" s="53"/>
      <c r="E136" s="56"/>
      <c r="F136" s="56"/>
      <c r="G136" s="56"/>
      <c r="H136" s="56"/>
      <c r="I136" s="56"/>
      <c r="J136" s="56"/>
      <c r="K136" s="56"/>
      <c r="L136" s="56"/>
      <c r="M136" s="56"/>
      <c r="N136" s="53"/>
      <c r="O136" s="53"/>
      <c r="P136" s="1">
        <f>IF(AND(H136="Yes",K136=""),ROW(),"")</f>
      </c>
      <c r="Q136">
        <f>IF(C136="","",1+IF(I136="Yes",1,0))</f>
      </c>
      <c r="R136">
        <f>IF(AND(C136&lt;&gt;"",F136&lt;&gt;"",F136&lt;&gt;"Guest"),ROW(),"")</f>
      </c>
    </row>
    <row r="137" ht="19" customHeight="1" spans="1:18" x14ac:dyDescent="0.25">
      <c r="A137" s="1"/>
      <c r="B137" s="92">
        <f>IF(C137="","",ROW()-5)</f>
      </c>
      <c r="C137" s="53"/>
      <c r="D137" s="53"/>
      <c r="E137" s="56"/>
      <c r="F137" s="56"/>
      <c r="G137" s="56"/>
      <c r="H137" s="56"/>
      <c r="I137" s="56"/>
      <c r="J137" s="56"/>
      <c r="K137" s="56"/>
      <c r="L137" s="56"/>
      <c r="M137" s="56"/>
      <c r="N137" s="53"/>
      <c r="O137" s="53"/>
      <c r="P137" s="1">
        <f>IF(AND(H137="Yes",K137=""),ROW(),"")</f>
      </c>
      <c r="Q137">
        <f>IF(C137="","",1+IF(I137="Yes",1,0))</f>
      </c>
      <c r="R137">
        <f>IF(AND(C137&lt;&gt;"",F137&lt;&gt;"",F137&lt;&gt;"Guest"),ROW(),"")</f>
      </c>
    </row>
    <row r="138" ht="19" customHeight="1" spans="1:18" x14ac:dyDescent="0.25">
      <c r="A138" s="1"/>
      <c r="B138" s="91">
        <f>IF(C138="","",ROW()-5)</f>
      </c>
      <c r="C138" s="53"/>
      <c r="D138" s="53"/>
      <c r="E138" s="56"/>
      <c r="F138" s="56"/>
      <c r="G138" s="56"/>
      <c r="H138" s="56"/>
      <c r="I138" s="56"/>
      <c r="J138" s="56"/>
      <c r="K138" s="56"/>
      <c r="L138" s="56"/>
      <c r="M138" s="56"/>
      <c r="N138" s="53"/>
      <c r="O138" s="53"/>
      <c r="P138" s="1">
        <f>IF(AND(H138="Yes",K138=""),ROW(),"")</f>
      </c>
      <c r="Q138">
        <f>IF(C138="","",1+IF(I138="Yes",1,0))</f>
      </c>
      <c r="R138">
        <f>IF(AND(C138&lt;&gt;"",F138&lt;&gt;"",F138&lt;&gt;"Guest"),ROW(),"")</f>
      </c>
    </row>
    <row r="139" ht="19" customHeight="1" spans="1:18" x14ac:dyDescent="0.25">
      <c r="A139" s="1"/>
      <c r="B139" s="92">
        <f>IF(C139="","",ROW()-5)</f>
      </c>
      <c r="C139" s="53"/>
      <c r="D139" s="53"/>
      <c r="E139" s="56"/>
      <c r="F139" s="56"/>
      <c r="G139" s="56"/>
      <c r="H139" s="56"/>
      <c r="I139" s="56"/>
      <c r="J139" s="56"/>
      <c r="K139" s="56"/>
      <c r="L139" s="56"/>
      <c r="M139" s="56"/>
      <c r="N139" s="53"/>
      <c r="O139" s="53"/>
      <c r="P139" s="1">
        <f>IF(AND(H139="Yes",K139=""),ROW(),"")</f>
      </c>
      <c r="Q139">
        <f>IF(C139="","",1+IF(I139="Yes",1,0))</f>
      </c>
      <c r="R139">
        <f>IF(AND(C139&lt;&gt;"",F139&lt;&gt;"",F139&lt;&gt;"Guest"),ROW(),"")</f>
      </c>
    </row>
    <row r="140" ht="19" customHeight="1" spans="1:18" x14ac:dyDescent="0.25">
      <c r="A140" s="1"/>
      <c r="B140" s="91">
        <f>IF(C140="","",ROW()-5)</f>
      </c>
      <c r="C140" s="53"/>
      <c r="D140" s="53"/>
      <c r="E140" s="56"/>
      <c r="F140" s="56"/>
      <c r="G140" s="56"/>
      <c r="H140" s="56"/>
      <c r="I140" s="56"/>
      <c r="J140" s="56"/>
      <c r="K140" s="56"/>
      <c r="L140" s="56"/>
      <c r="M140" s="56"/>
      <c r="N140" s="53"/>
      <c r="O140" s="53"/>
      <c r="P140" s="1">
        <f>IF(AND(H140="Yes",K140=""),ROW(),"")</f>
      </c>
      <c r="Q140">
        <f>IF(C140="","",1+IF(I140="Yes",1,0))</f>
      </c>
      <c r="R140">
        <f>IF(AND(C140&lt;&gt;"",F140&lt;&gt;"",F140&lt;&gt;"Guest"),ROW(),"")</f>
      </c>
    </row>
    <row r="141" ht="19" customHeight="1" spans="1:18" x14ac:dyDescent="0.25">
      <c r="A141" s="1"/>
      <c r="B141" s="92">
        <f>IF(C141="","",ROW()-5)</f>
      </c>
      <c r="C141" s="53"/>
      <c r="D141" s="53"/>
      <c r="E141" s="56"/>
      <c r="F141" s="56"/>
      <c r="G141" s="56"/>
      <c r="H141" s="56"/>
      <c r="I141" s="56"/>
      <c r="J141" s="56"/>
      <c r="K141" s="56"/>
      <c r="L141" s="56"/>
      <c r="M141" s="56"/>
      <c r="N141" s="53"/>
      <c r="O141" s="53"/>
      <c r="P141" s="1">
        <f>IF(AND(H141="Yes",K141=""),ROW(),"")</f>
      </c>
      <c r="Q141">
        <f>IF(C141="","",1+IF(I141="Yes",1,0))</f>
      </c>
      <c r="R141">
        <f>IF(AND(C141&lt;&gt;"",F141&lt;&gt;"",F141&lt;&gt;"Guest"),ROW(),"")</f>
      </c>
    </row>
    <row r="142" ht="19" customHeight="1" spans="1:18" x14ac:dyDescent="0.25">
      <c r="A142" s="1"/>
      <c r="B142" s="91">
        <f>IF(C142="","",ROW()-5)</f>
      </c>
      <c r="C142" s="53"/>
      <c r="D142" s="53"/>
      <c r="E142" s="56"/>
      <c r="F142" s="56"/>
      <c r="G142" s="56"/>
      <c r="H142" s="56"/>
      <c r="I142" s="56"/>
      <c r="J142" s="56"/>
      <c r="K142" s="56"/>
      <c r="L142" s="56"/>
      <c r="M142" s="56"/>
      <c r="N142" s="53"/>
      <c r="O142" s="53"/>
      <c r="P142" s="1">
        <f>IF(AND(H142="Yes",K142=""),ROW(),"")</f>
      </c>
      <c r="Q142">
        <f>IF(C142="","",1+IF(I142="Yes",1,0))</f>
      </c>
      <c r="R142">
        <f>IF(AND(C142&lt;&gt;"",F142&lt;&gt;"",F142&lt;&gt;"Guest"),ROW(),"")</f>
      </c>
    </row>
    <row r="143" ht="19" customHeight="1" spans="1:18" x14ac:dyDescent="0.25">
      <c r="A143" s="1"/>
      <c r="B143" s="92">
        <f>IF(C143="","",ROW()-5)</f>
      </c>
      <c r="C143" s="53"/>
      <c r="D143" s="53"/>
      <c r="E143" s="56"/>
      <c r="F143" s="56"/>
      <c r="G143" s="56"/>
      <c r="H143" s="56"/>
      <c r="I143" s="56"/>
      <c r="J143" s="56"/>
      <c r="K143" s="56"/>
      <c r="L143" s="56"/>
      <c r="M143" s="56"/>
      <c r="N143" s="53"/>
      <c r="O143" s="53"/>
      <c r="P143" s="1">
        <f>IF(AND(H143="Yes",K143=""),ROW(),"")</f>
      </c>
      <c r="Q143">
        <f>IF(C143="","",1+IF(I143="Yes",1,0))</f>
      </c>
      <c r="R143">
        <f>IF(AND(C143&lt;&gt;"",F143&lt;&gt;"",F143&lt;&gt;"Guest"),ROW(),"")</f>
      </c>
    </row>
    <row r="144" ht="19" customHeight="1" spans="1:18" x14ac:dyDescent="0.25">
      <c r="A144" s="1"/>
      <c r="B144" s="91">
        <f>IF(C144="","",ROW()-5)</f>
      </c>
      <c r="C144" s="53"/>
      <c r="D144" s="53"/>
      <c r="E144" s="56"/>
      <c r="F144" s="56"/>
      <c r="G144" s="56"/>
      <c r="H144" s="56"/>
      <c r="I144" s="56"/>
      <c r="J144" s="56"/>
      <c r="K144" s="56"/>
      <c r="L144" s="56"/>
      <c r="M144" s="56"/>
      <c r="N144" s="53"/>
      <c r="O144" s="53"/>
      <c r="P144" s="1">
        <f>IF(AND(H144="Yes",K144=""),ROW(),"")</f>
      </c>
      <c r="Q144">
        <f>IF(C144="","",1+IF(I144="Yes",1,0))</f>
      </c>
      <c r="R144">
        <f>IF(AND(C144&lt;&gt;"",F144&lt;&gt;"",F144&lt;&gt;"Guest"),ROW(),"")</f>
      </c>
    </row>
    <row r="145" ht="19" customHeight="1" spans="1:18" x14ac:dyDescent="0.25">
      <c r="A145" s="1"/>
      <c r="B145" s="92">
        <f>IF(C145="","",ROW()-5)</f>
      </c>
      <c r="C145" s="53"/>
      <c r="D145" s="53"/>
      <c r="E145" s="56"/>
      <c r="F145" s="56"/>
      <c r="G145" s="56"/>
      <c r="H145" s="56"/>
      <c r="I145" s="56"/>
      <c r="J145" s="56"/>
      <c r="K145" s="56"/>
      <c r="L145" s="56"/>
      <c r="M145" s="56"/>
      <c r="N145" s="53"/>
      <c r="O145" s="53"/>
      <c r="P145" s="1">
        <f>IF(AND(H145="Yes",K145=""),ROW(),"")</f>
      </c>
      <c r="Q145">
        <f>IF(C145="","",1+IF(I145="Yes",1,0))</f>
      </c>
      <c r="R145">
        <f>IF(AND(C145&lt;&gt;"",F145&lt;&gt;"",F145&lt;&gt;"Guest"),ROW(),"")</f>
      </c>
    </row>
    <row r="146" ht="19" customHeight="1" spans="1:18" x14ac:dyDescent="0.25">
      <c r="A146" s="1"/>
      <c r="B146" s="91">
        <f>IF(C146="","",ROW()-5)</f>
      </c>
      <c r="C146" s="53"/>
      <c r="D146" s="53"/>
      <c r="E146" s="56"/>
      <c r="F146" s="56"/>
      <c r="G146" s="56"/>
      <c r="H146" s="56"/>
      <c r="I146" s="56"/>
      <c r="J146" s="56"/>
      <c r="K146" s="56"/>
      <c r="L146" s="56"/>
      <c r="M146" s="56"/>
      <c r="N146" s="53"/>
      <c r="O146" s="53"/>
      <c r="P146" s="1">
        <f>IF(AND(H146="Yes",K146=""),ROW(),"")</f>
      </c>
      <c r="Q146">
        <f>IF(C146="","",1+IF(I146="Yes",1,0))</f>
      </c>
      <c r="R146">
        <f>IF(AND(C146&lt;&gt;"",F146&lt;&gt;"",F146&lt;&gt;"Guest"),ROW(),"")</f>
      </c>
    </row>
    <row r="147" ht="19" customHeight="1" spans="1:18" x14ac:dyDescent="0.25">
      <c r="A147" s="1"/>
      <c r="B147" s="92">
        <f>IF(C147="","",ROW()-5)</f>
      </c>
      <c r="C147" s="53"/>
      <c r="D147" s="53"/>
      <c r="E147" s="56"/>
      <c r="F147" s="56"/>
      <c r="G147" s="56"/>
      <c r="H147" s="56"/>
      <c r="I147" s="56"/>
      <c r="J147" s="56"/>
      <c r="K147" s="56"/>
      <c r="L147" s="56"/>
      <c r="M147" s="56"/>
      <c r="N147" s="53"/>
      <c r="O147" s="53"/>
      <c r="P147" s="1">
        <f>IF(AND(H147="Yes",K147=""),ROW(),"")</f>
      </c>
      <c r="Q147">
        <f>IF(C147="","",1+IF(I147="Yes",1,0))</f>
      </c>
      <c r="R147">
        <f>IF(AND(C147&lt;&gt;"",F147&lt;&gt;"",F147&lt;&gt;"Guest"),ROW(),"")</f>
      </c>
    </row>
    <row r="148" ht="19" customHeight="1" spans="1:18" x14ac:dyDescent="0.25">
      <c r="A148" s="1"/>
      <c r="B148" s="91">
        <f>IF(C148="","",ROW()-5)</f>
      </c>
      <c r="C148" s="53"/>
      <c r="D148" s="53"/>
      <c r="E148" s="56"/>
      <c r="F148" s="56"/>
      <c r="G148" s="56"/>
      <c r="H148" s="56"/>
      <c r="I148" s="56"/>
      <c r="J148" s="56"/>
      <c r="K148" s="56"/>
      <c r="L148" s="56"/>
      <c r="M148" s="56"/>
      <c r="N148" s="53"/>
      <c r="O148" s="53"/>
      <c r="P148" s="1">
        <f>IF(AND(H148="Yes",K148=""),ROW(),"")</f>
      </c>
      <c r="Q148">
        <f>IF(C148="","",1+IF(I148="Yes",1,0))</f>
      </c>
      <c r="R148">
        <f>IF(AND(C148&lt;&gt;"",F148&lt;&gt;"",F148&lt;&gt;"Guest"),ROW(),"")</f>
      </c>
    </row>
    <row r="149" ht="19" customHeight="1" spans="1:18" x14ac:dyDescent="0.25">
      <c r="A149" s="1"/>
      <c r="B149" s="92">
        <f>IF(C149="","",ROW()-5)</f>
      </c>
      <c r="C149" s="53"/>
      <c r="D149" s="53"/>
      <c r="E149" s="56"/>
      <c r="F149" s="56"/>
      <c r="G149" s="56"/>
      <c r="H149" s="56"/>
      <c r="I149" s="56"/>
      <c r="J149" s="56"/>
      <c r="K149" s="56"/>
      <c r="L149" s="56"/>
      <c r="M149" s="56"/>
      <c r="N149" s="53"/>
      <c r="O149" s="53"/>
      <c r="P149" s="1">
        <f>IF(AND(H149="Yes",K149=""),ROW(),"")</f>
      </c>
      <c r="Q149">
        <f>IF(C149="","",1+IF(I149="Yes",1,0))</f>
      </c>
      <c r="R149">
        <f>IF(AND(C149&lt;&gt;"",F149&lt;&gt;"",F149&lt;&gt;"Guest"),ROW(),"")</f>
      </c>
    </row>
    <row r="150" ht="19" customHeight="1" spans="1:18" x14ac:dyDescent="0.25">
      <c r="A150" s="1"/>
      <c r="B150" s="91">
        <f>IF(C150="","",ROW()-5)</f>
      </c>
      <c r="C150" s="53"/>
      <c r="D150" s="53"/>
      <c r="E150" s="56"/>
      <c r="F150" s="56"/>
      <c r="G150" s="56"/>
      <c r="H150" s="56"/>
      <c r="I150" s="56"/>
      <c r="J150" s="56"/>
      <c r="K150" s="56"/>
      <c r="L150" s="56"/>
      <c r="M150" s="56"/>
      <c r="N150" s="53"/>
      <c r="O150" s="53"/>
      <c r="P150" s="1">
        <f>IF(AND(H150="Yes",K150=""),ROW(),"")</f>
      </c>
      <c r="Q150">
        <f>IF(C150="","",1+IF(I150="Yes",1,0))</f>
      </c>
      <c r="R150">
        <f>IF(AND(C150&lt;&gt;"",F150&lt;&gt;"",F150&lt;&gt;"Guest"),ROW(),"")</f>
      </c>
    </row>
    <row r="151" ht="19" customHeight="1" spans="1:18" x14ac:dyDescent="0.25">
      <c r="A151" s="1"/>
      <c r="B151" s="92">
        <f>IF(C151="","",ROW()-5)</f>
      </c>
      <c r="C151" s="53"/>
      <c r="D151" s="53"/>
      <c r="E151" s="56"/>
      <c r="F151" s="56"/>
      <c r="G151" s="56"/>
      <c r="H151" s="56"/>
      <c r="I151" s="56"/>
      <c r="J151" s="56"/>
      <c r="K151" s="56"/>
      <c r="L151" s="56"/>
      <c r="M151" s="56"/>
      <c r="N151" s="53"/>
      <c r="O151" s="53"/>
      <c r="P151" s="1">
        <f>IF(AND(H151="Yes",K151=""),ROW(),"")</f>
      </c>
      <c r="Q151">
        <f>IF(C151="","",1+IF(I151="Yes",1,0))</f>
      </c>
      <c r="R151">
        <f>IF(AND(C151&lt;&gt;"",F151&lt;&gt;"",F151&lt;&gt;"Guest"),ROW(),"")</f>
      </c>
    </row>
    <row r="152" ht="19" customHeight="1" spans="1:18" x14ac:dyDescent="0.25">
      <c r="A152" s="1"/>
      <c r="B152" s="91">
        <f>IF(C152="","",ROW()-5)</f>
      </c>
      <c r="C152" s="53"/>
      <c r="D152" s="53"/>
      <c r="E152" s="56"/>
      <c r="F152" s="56"/>
      <c r="G152" s="56"/>
      <c r="H152" s="56"/>
      <c r="I152" s="56"/>
      <c r="J152" s="56"/>
      <c r="K152" s="56"/>
      <c r="L152" s="56"/>
      <c r="M152" s="56"/>
      <c r="N152" s="53"/>
      <c r="O152" s="53"/>
      <c r="P152" s="1">
        <f>IF(AND(H152="Yes",K152=""),ROW(),"")</f>
      </c>
      <c r="Q152">
        <f>IF(C152="","",1+IF(I152="Yes",1,0))</f>
      </c>
      <c r="R152">
        <f>IF(AND(C152&lt;&gt;"",F152&lt;&gt;"",F152&lt;&gt;"Guest"),ROW(),"")</f>
      </c>
    </row>
    <row r="153" ht="19" customHeight="1" spans="1:18" x14ac:dyDescent="0.25">
      <c r="A153" s="1"/>
      <c r="B153" s="92">
        <f>IF(C153="","",ROW()-5)</f>
      </c>
      <c r="C153" s="53"/>
      <c r="D153" s="53"/>
      <c r="E153" s="56"/>
      <c r="F153" s="56"/>
      <c r="G153" s="56"/>
      <c r="H153" s="56"/>
      <c r="I153" s="56"/>
      <c r="J153" s="56"/>
      <c r="K153" s="56"/>
      <c r="L153" s="56"/>
      <c r="M153" s="56"/>
      <c r="N153" s="53"/>
      <c r="O153" s="53"/>
      <c r="P153" s="1">
        <f>IF(AND(H153="Yes",K153=""),ROW(),"")</f>
      </c>
      <c r="Q153">
        <f>IF(C153="","",1+IF(I153="Yes",1,0))</f>
      </c>
      <c r="R153">
        <f>IF(AND(C153&lt;&gt;"",F153&lt;&gt;"",F153&lt;&gt;"Guest"),ROW(),"")</f>
      </c>
    </row>
    <row r="154" ht="19" customHeight="1" spans="1:18" x14ac:dyDescent="0.25">
      <c r="A154" s="1"/>
      <c r="B154" s="91">
        <f>IF(C154="","",ROW()-5)</f>
      </c>
      <c r="C154" s="53"/>
      <c r="D154" s="53"/>
      <c r="E154" s="56"/>
      <c r="F154" s="56"/>
      <c r="G154" s="56"/>
      <c r="H154" s="56"/>
      <c r="I154" s="56"/>
      <c r="J154" s="56"/>
      <c r="K154" s="56"/>
      <c r="L154" s="56"/>
      <c r="M154" s="56"/>
      <c r="N154" s="53"/>
      <c r="O154" s="53"/>
      <c r="P154" s="1">
        <f>IF(AND(H154="Yes",K154=""),ROW(),"")</f>
      </c>
      <c r="Q154">
        <f>IF(C154="","",1+IF(I154="Yes",1,0))</f>
      </c>
      <c r="R154">
        <f>IF(AND(C154&lt;&gt;"",F154&lt;&gt;"",F154&lt;&gt;"Guest"),ROW(),"")</f>
      </c>
    </row>
    <row r="155" ht="19" customHeight="1" spans="1:18" x14ac:dyDescent="0.25">
      <c r="A155" s="1"/>
      <c r="B155" s="92">
        <f>IF(C155="","",ROW()-5)</f>
      </c>
      <c r="C155" s="53"/>
      <c r="D155" s="53"/>
      <c r="E155" s="56"/>
      <c r="F155" s="56"/>
      <c r="G155" s="56"/>
      <c r="H155" s="56"/>
      <c r="I155" s="56"/>
      <c r="J155" s="56"/>
      <c r="K155" s="56"/>
      <c r="L155" s="56"/>
      <c r="M155" s="56"/>
      <c r="N155" s="53"/>
      <c r="O155" s="53"/>
      <c r="P155" s="1">
        <f>IF(AND(H155="Yes",K155=""),ROW(),"")</f>
      </c>
      <c r="Q155">
        <f>IF(C155="","",1+IF(I155="Yes",1,0))</f>
      </c>
      <c r="R155">
        <f>IF(AND(C155&lt;&gt;"",F155&lt;&gt;"",F155&lt;&gt;"Guest"),ROW(),"")</f>
      </c>
    </row>
    <row r="156" ht="19" customHeight="1" spans="1:18" x14ac:dyDescent="0.25">
      <c r="A156" s="1"/>
      <c r="B156" s="91">
        <f>IF(C156="","",ROW()-5)</f>
      </c>
      <c r="C156" s="53"/>
      <c r="D156" s="53"/>
      <c r="E156" s="56"/>
      <c r="F156" s="56"/>
      <c r="G156" s="56"/>
      <c r="H156" s="56"/>
      <c r="I156" s="56"/>
      <c r="J156" s="56"/>
      <c r="K156" s="56"/>
      <c r="L156" s="56"/>
      <c r="M156" s="56"/>
      <c r="N156" s="53"/>
      <c r="O156" s="53"/>
      <c r="P156" s="1">
        <f>IF(AND(H156="Yes",K156=""),ROW(),"")</f>
      </c>
      <c r="Q156">
        <f>IF(C156="","",1+IF(I156="Yes",1,0))</f>
      </c>
      <c r="R156">
        <f>IF(AND(C156&lt;&gt;"",F156&lt;&gt;"",F156&lt;&gt;"Guest"),ROW(),"")</f>
      </c>
    </row>
    <row r="157" ht="19" customHeight="1" spans="1:18" x14ac:dyDescent="0.25">
      <c r="A157" s="1"/>
      <c r="B157" s="92">
        <f>IF(C157="","",ROW()-5)</f>
      </c>
      <c r="C157" s="53"/>
      <c r="D157" s="53"/>
      <c r="E157" s="56"/>
      <c r="F157" s="56"/>
      <c r="G157" s="56"/>
      <c r="H157" s="56"/>
      <c r="I157" s="56"/>
      <c r="J157" s="56"/>
      <c r="K157" s="56"/>
      <c r="L157" s="56"/>
      <c r="M157" s="56"/>
      <c r="N157" s="53"/>
      <c r="O157" s="53"/>
      <c r="P157" s="1">
        <f>IF(AND(H157="Yes",K157=""),ROW(),"")</f>
      </c>
      <c r="Q157">
        <f>IF(C157="","",1+IF(I157="Yes",1,0))</f>
      </c>
      <c r="R157">
        <f>IF(AND(C157&lt;&gt;"",F157&lt;&gt;"",F157&lt;&gt;"Guest"),ROW(),"")</f>
      </c>
    </row>
    <row r="158" ht="19" customHeight="1" spans="1:18" x14ac:dyDescent="0.25">
      <c r="A158" s="1"/>
      <c r="B158" s="91">
        <f>IF(C158="","",ROW()-5)</f>
      </c>
      <c r="C158" s="53"/>
      <c r="D158" s="53"/>
      <c r="E158" s="56"/>
      <c r="F158" s="56"/>
      <c r="G158" s="56"/>
      <c r="H158" s="56"/>
      <c r="I158" s="56"/>
      <c r="J158" s="56"/>
      <c r="K158" s="56"/>
      <c r="L158" s="56"/>
      <c r="M158" s="56"/>
      <c r="N158" s="53"/>
      <c r="O158" s="53"/>
      <c r="P158" s="1">
        <f>IF(AND(H158="Yes",K158=""),ROW(),"")</f>
      </c>
      <c r="Q158">
        <f>IF(C158="","",1+IF(I158="Yes",1,0))</f>
      </c>
      <c r="R158">
        <f>IF(AND(C158&lt;&gt;"",F158&lt;&gt;"",F158&lt;&gt;"Guest"),ROW(),"")</f>
      </c>
    </row>
    <row r="159" ht="19" customHeight="1" spans="1:18" x14ac:dyDescent="0.25">
      <c r="A159" s="1"/>
      <c r="B159" s="92">
        <f>IF(C159="","",ROW()-5)</f>
      </c>
      <c r="C159" s="53"/>
      <c r="D159" s="53"/>
      <c r="E159" s="56"/>
      <c r="F159" s="56"/>
      <c r="G159" s="56"/>
      <c r="H159" s="56"/>
      <c r="I159" s="56"/>
      <c r="J159" s="56"/>
      <c r="K159" s="56"/>
      <c r="L159" s="56"/>
      <c r="M159" s="56"/>
      <c r="N159" s="53"/>
      <c r="O159" s="53"/>
      <c r="P159" s="1">
        <f>IF(AND(H159="Yes",K159=""),ROW(),"")</f>
      </c>
      <c r="Q159">
        <f>IF(C159="","",1+IF(I159="Yes",1,0))</f>
      </c>
      <c r="R159">
        <f>IF(AND(C159&lt;&gt;"",F159&lt;&gt;"",F159&lt;&gt;"Guest"),ROW(),"")</f>
      </c>
    </row>
    <row r="160" ht="19" customHeight="1" spans="1:18" x14ac:dyDescent="0.25">
      <c r="A160" s="1"/>
      <c r="B160" s="91">
        <f>IF(C160="","",ROW()-5)</f>
      </c>
      <c r="C160" s="53"/>
      <c r="D160" s="53"/>
      <c r="E160" s="56"/>
      <c r="F160" s="56"/>
      <c r="G160" s="56"/>
      <c r="H160" s="56"/>
      <c r="I160" s="56"/>
      <c r="J160" s="56"/>
      <c r="K160" s="56"/>
      <c r="L160" s="56"/>
      <c r="M160" s="56"/>
      <c r="N160" s="53"/>
      <c r="O160" s="53"/>
      <c r="P160" s="1">
        <f>IF(AND(H160="Yes",K160=""),ROW(),"")</f>
      </c>
      <c r="Q160">
        <f>IF(C160="","",1+IF(I160="Yes",1,0))</f>
      </c>
      <c r="R160">
        <f>IF(AND(C160&lt;&gt;"",F160&lt;&gt;"",F160&lt;&gt;"Guest"),ROW(),"")</f>
      </c>
    </row>
    <row r="161" ht="19" customHeight="1" spans="1:18" x14ac:dyDescent="0.25">
      <c r="A161" s="1"/>
      <c r="B161" s="92">
        <f>IF(C161="","",ROW()-5)</f>
      </c>
      <c r="C161" s="53"/>
      <c r="D161" s="53"/>
      <c r="E161" s="56"/>
      <c r="F161" s="56"/>
      <c r="G161" s="56"/>
      <c r="H161" s="56"/>
      <c r="I161" s="56"/>
      <c r="J161" s="56"/>
      <c r="K161" s="56"/>
      <c r="L161" s="56"/>
      <c r="M161" s="56"/>
      <c r="N161" s="53"/>
      <c r="O161" s="53"/>
      <c r="P161" s="1">
        <f>IF(AND(H161="Yes",K161=""),ROW(),"")</f>
      </c>
      <c r="Q161">
        <f>IF(C161="","",1+IF(I161="Yes",1,0))</f>
      </c>
      <c r="R161">
        <f>IF(AND(C161&lt;&gt;"",F161&lt;&gt;"",F161&lt;&gt;"Guest"),ROW(),"")</f>
      </c>
    </row>
    <row r="162" ht="19" customHeight="1" spans="1:18" x14ac:dyDescent="0.25">
      <c r="A162" s="1"/>
      <c r="B162" s="91">
        <f>IF(C162="","",ROW()-5)</f>
      </c>
      <c r="C162" s="53"/>
      <c r="D162" s="53"/>
      <c r="E162" s="56"/>
      <c r="F162" s="56"/>
      <c r="G162" s="56"/>
      <c r="H162" s="56"/>
      <c r="I162" s="56"/>
      <c r="J162" s="56"/>
      <c r="K162" s="56"/>
      <c r="L162" s="56"/>
      <c r="M162" s="56"/>
      <c r="N162" s="53"/>
      <c r="O162" s="53"/>
      <c r="P162" s="1">
        <f>IF(AND(H162="Yes",K162=""),ROW(),"")</f>
      </c>
      <c r="Q162">
        <f>IF(C162="","",1+IF(I162="Yes",1,0))</f>
      </c>
      <c r="R162">
        <f>IF(AND(C162&lt;&gt;"",F162&lt;&gt;"",F162&lt;&gt;"Guest"),ROW(),"")</f>
      </c>
    </row>
    <row r="163" ht="19" customHeight="1" spans="1:18" x14ac:dyDescent="0.25">
      <c r="A163" s="1"/>
      <c r="B163" s="92">
        <f>IF(C163="","",ROW()-5)</f>
      </c>
      <c r="C163" s="53"/>
      <c r="D163" s="53"/>
      <c r="E163" s="56"/>
      <c r="F163" s="56"/>
      <c r="G163" s="56"/>
      <c r="H163" s="56"/>
      <c r="I163" s="56"/>
      <c r="J163" s="56"/>
      <c r="K163" s="56"/>
      <c r="L163" s="56"/>
      <c r="M163" s="56"/>
      <c r="N163" s="53"/>
      <c r="O163" s="53"/>
      <c r="P163" s="1">
        <f>IF(AND(H163="Yes",K163=""),ROW(),"")</f>
      </c>
      <c r="Q163">
        <f>IF(C163="","",1+IF(I163="Yes",1,0))</f>
      </c>
      <c r="R163">
        <f>IF(AND(C163&lt;&gt;"",F163&lt;&gt;"",F163&lt;&gt;"Guest"),ROW(),"")</f>
      </c>
    </row>
    <row r="164" ht="19" customHeight="1" spans="1:18" x14ac:dyDescent="0.25">
      <c r="A164" s="1"/>
      <c r="B164" s="91">
        <f>IF(C164="","",ROW()-5)</f>
      </c>
      <c r="C164" s="53"/>
      <c r="D164" s="53"/>
      <c r="E164" s="56"/>
      <c r="F164" s="56"/>
      <c r="G164" s="56"/>
      <c r="H164" s="56"/>
      <c r="I164" s="56"/>
      <c r="J164" s="56"/>
      <c r="K164" s="56"/>
      <c r="L164" s="56"/>
      <c r="M164" s="56"/>
      <c r="N164" s="53"/>
      <c r="O164" s="53"/>
      <c r="P164" s="1">
        <f>IF(AND(H164="Yes",K164=""),ROW(),"")</f>
      </c>
      <c r="Q164">
        <f>IF(C164="","",1+IF(I164="Yes",1,0))</f>
      </c>
      <c r="R164">
        <f>IF(AND(C164&lt;&gt;"",F164&lt;&gt;"",F164&lt;&gt;"Guest"),ROW(),"")</f>
      </c>
    </row>
    <row r="165" ht="19" customHeight="1" spans="1:18" x14ac:dyDescent="0.25">
      <c r="A165" s="1"/>
      <c r="B165" s="92">
        <f>IF(C165="","",ROW()-5)</f>
      </c>
      <c r="C165" s="53"/>
      <c r="D165" s="53"/>
      <c r="E165" s="56"/>
      <c r="F165" s="56"/>
      <c r="G165" s="56"/>
      <c r="H165" s="56"/>
      <c r="I165" s="56"/>
      <c r="J165" s="56"/>
      <c r="K165" s="56"/>
      <c r="L165" s="56"/>
      <c r="M165" s="56"/>
      <c r="N165" s="53"/>
      <c r="O165" s="53"/>
      <c r="P165" s="1">
        <f>IF(AND(H165="Yes",K165=""),ROW(),"")</f>
      </c>
      <c r="Q165">
        <f>IF(C165="","",1+IF(I165="Yes",1,0))</f>
      </c>
      <c r="R165">
        <f>IF(AND(C165&lt;&gt;"",F165&lt;&gt;"",F165&lt;&gt;"Guest"),ROW(),"")</f>
      </c>
    </row>
    <row r="166" ht="19" customHeight="1" spans="1:18" x14ac:dyDescent="0.25">
      <c r="A166" s="1"/>
      <c r="B166" s="91">
        <f>IF(C166="","",ROW()-5)</f>
      </c>
      <c r="C166" s="53"/>
      <c r="D166" s="53"/>
      <c r="E166" s="56"/>
      <c r="F166" s="56"/>
      <c r="G166" s="56"/>
      <c r="H166" s="56"/>
      <c r="I166" s="56"/>
      <c r="J166" s="56"/>
      <c r="K166" s="56"/>
      <c r="L166" s="56"/>
      <c r="M166" s="56"/>
      <c r="N166" s="53"/>
      <c r="O166" s="53"/>
      <c r="P166" s="1">
        <f>IF(AND(H166="Yes",K166=""),ROW(),"")</f>
      </c>
      <c r="Q166">
        <f>IF(C166="","",1+IF(I166="Yes",1,0))</f>
      </c>
      <c r="R166">
        <f>IF(AND(C166&lt;&gt;"",F166&lt;&gt;"",F166&lt;&gt;"Guest"),ROW(),"")</f>
      </c>
    </row>
    <row r="167" ht="19" customHeight="1" spans="1:18" x14ac:dyDescent="0.25">
      <c r="A167" s="1"/>
      <c r="B167" s="92">
        <f>IF(C167="","",ROW()-5)</f>
      </c>
      <c r="C167" s="53"/>
      <c r="D167" s="53"/>
      <c r="E167" s="56"/>
      <c r="F167" s="56"/>
      <c r="G167" s="56"/>
      <c r="H167" s="56"/>
      <c r="I167" s="56"/>
      <c r="J167" s="56"/>
      <c r="K167" s="56"/>
      <c r="L167" s="56"/>
      <c r="M167" s="56"/>
      <c r="N167" s="53"/>
      <c r="O167" s="53"/>
      <c r="P167" s="1">
        <f>IF(AND(H167="Yes",K167=""),ROW(),"")</f>
      </c>
      <c r="Q167">
        <f>IF(C167="","",1+IF(I167="Yes",1,0))</f>
      </c>
      <c r="R167">
        <f>IF(AND(C167&lt;&gt;"",F167&lt;&gt;"",F167&lt;&gt;"Guest"),ROW(),"")</f>
      </c>
    </row>
    <row r="168" ht="19" customHeight="1" spans="1:18" x14ac:dyDescent="0.25">
      <c r="A168" s="1"/>
      <c r="B168" s="91">
        <f>IF(C168="","",ROW()-5)</f>
      </c>
      <c r="C168" s="53"/>
      <c r="D168" s="53"/>
      <c r="E168" s="56"/>
      <c r="F168" s="56"/>
      <c r="G168" s="56"/>
      <c r="H168" s="56"/>
      <c r="I168" s="56"/>
      <c r="J168" s="56"/>
      <c r="K168" s="56"/>
      <c r="L168" s="56"/>
      <c r="M168" s="56"/>
      <c r="N168" s="53"/>
      <c r="O168" s="53"/>
      <c r="P168" s="1">
        <f>IF(AND(H168="Yes",K168=""),ROW(),"")</f>
      </c>
      <c r="Q168">
        <f>IF(C168="","",1+IF(I168="Yes",1,0))</f>
      </c>
      <c r="R168">
        <f>IF(AND(C168&lt;&gt;"",F168&lt;&gt;"",F168&lt;&gt;"Guest"),ROW(),"")</f>
      </c>
    </row>
    <row r="169" ht="19" customHeight="1" spans="1:18" x14ac:dyDescent="0.25">
      <c r="A169" s="1"/>
      <c r="B169" s="92">
        <f>IF(C169="","",ROW()-5)</f>
      </c>
      <c r="C169" s="53"/>
      <c r="D169" s="53"/>
      <c r="E169" s="56"/>
      <c r="F169" s="56"/>
      <c r="G169" s="56"/>
      <c r="H169" s="56"/>
      <c r="I169" s="56"/>
      <c r="J169" s="56"/>
      <c r="K169" s="56"/>
      <c r="L169" s="56"/>
      <c r="M169" s="56"/>
      <c r="N169" s="53"/>
      <c r="O169" s="53"/>
      <c r="P169" s="1">
        <f>IF(AND(H169="Yes",K169=""),ROW(),"")</f>
      </c>
      <c r="Q169">
        <f>IF(C169="","",1+IF(I169="Yes",1,0))</f>
      </c>
      <c r="R169">
        <f>IF(AND(C169&lt;&gt;"",F169&lt;&gt;"",F169&lt;&gt;"Guest"),ROW(),"")</f>
      </c>
    </row>
    <row r="170" ht="19" customHeight="1" spans="1:18" x14ac:dyDescent="0.25">
      <c r="A170" s="1"/>
      <c r="B170" s="91">
        <f>IF(C170="","",ROW()-5)</f>
      </c>
      <c r="C170" s="53"/>
      <c r="D170" s="53"/>
      <c r="E170" s="56"/>
      <c r="F170" s="56"/>
      <c r="G170" s="56"/>
      <c r="H170" s="56"/>
      <c r="I170" s="56"/>
      <c r="J170" s="56"/>
      <c r="K170" s="56"/>
      <c r="L170" s="56"/>
      <c r="M170" s="56"/>
      <c r="N170" s="53"/>
      <c r="O170" s="53"/>
      <c r="P170" s="1">
        <f>IF(AND(H170="Yes",K170=""),ROW(),"")</f>
      </c>
      <c r="Q170">
        <f>IF(C170="","",1+IF(I170="Yes",1,0))</f>
      </c>
      <c r="R170">
        <f>IF(AND(C170&lt;&gt;"",F170&lt;&gt;"",F170&lt;&gt;"Guest"),ROW(),"")</f>
      </c>
    </row>
    <row r="171" ht="19" customHeight="1" spans="1:18" x14ac:dyDescent="0.25">
      <c r="A171" s="1"/>
      <c r="B171" s="92">
        <f>IF(C171="","",ROW()-5)</f>
      </c>
      <c r="C171" s="53"/>
      <c r="D171" s="53"/>
      <c r="E171" s="56"/>
      <c r="F171" s="56"/>
      <c r="G171" s="56"/>
      <c r="H171" s="56"/>
      <c r="I171" s="56"/>
      <c r="J171" s="56"/>
      <c r="K171" s="56"/>
      <c r="L171" s="56"/>
      <c r="M171" s="56"/>
      <c r="N171" s="53"/>
      <c r="O171" s="53"/>
      <c r="P171" s="1">
        <f>IF(AND(H171="Yes",K171=""),ROW(),"")</f>
      </c>
      <c r="Q171">
        <f>IF(C171="","",1+IF(I171="Yes",1,0))</f>
      </c>
      <c r="R171">
        <f>IF(AND(C171&lt;&gt;"",F171&lt;&gt;"",F171&lt;&gt;"Guest"),ROW(),"")</f>
      </c>
    </row>
    <row r="172" ht="19" customHeight="1" spans="1:18" x14ac:dyDescent="0.25">
      <c r="A172" s="1"/>
      <c r="B172" s="91">
        <f>IF(C172="","",ROW()-5)</f>
      </c>
      <c r="C172" s="53"/>
      <c r="D172" s="53"/>
      <c r="E172" s="56"/>
      <c r="F172" s="56"/>
      <c r="G172" s="56"/>
      <c r="H172" s="56"/>
      <c r="I172" s="56"/>
      <c r="J172" s="56"/>
      <c r="K172" s="56"/>
      <c r="L172" s="56"/>
      <c r="M172" s="56"/>
      <c r="N172" s="53"/>
      <c r="O172" s="53"/>
      <c r="P172" s="1">
        <f>IF(AND(H172="Yes",K172=""),ROW(),"")</f>
      </c>
      <c r="Q172">
        <f>IF(C172="","",1+IF(I172="Yes",1,0))</f>
      </c>
      <c r="R172">
        <f>IF(AND(C172&lt;&gt;"",F172&lt;&gt;"",F172&lt;&gt;"Guest"),ROW(),"")</f>
      </c>
    </row>
    <row r="173" ht="19" customHeight="1" spans="1:18" x14ac:dyDescent="0.25">
      <c r="A173" s="1"/>
      <c r="B173" s="92">
        <f>IF(C173="","",ROW()-5)</f>
      </c>
      <c r="C173" s="53"/>
      <c r="D173" s="53"/>
      <c r="E173" s="56"/>
      <c r="F173" s="56"/>
      <c r="G173" s="56"/>
      <c r="H173" s="56"/>
      <c r="I173" s="56"/>
      <c r="J173" s="56"/>
      <c r="K173" s="56"/>
      <c r="L173" s="56"/>
      <c r="M173" s="56"/>
      <c r="N173" s="53"/>
      <c r="O173" s="53"/>
      <c r="P173" s="1">
        <f>IF(AND(H173="Yes",K173=""),ROW(),"")</f>
      </c>
      <c r="Q173">
        <f>IF(C173="","",1+IF(I173="Yes",1,0))</f>
      </c>
      <c r="R173">
        <f>IF(AND(C173&lt;&gt;"",F173&lt;&gt;"",F173&lt;&gt;"Guest"),ROW(),"")</f>
      </c>
    </row>
    <row r="174" ht="19" customHeight="1" spans="1:18" x14ac:dyDescent="0.25">
      <c r="A174" s="1"/>
      <c r="B174" s="91">
        <f>IF(C174="","",ROW()-5)</f>
      </c>
      <c r="C174" s="53"/>
      <c r="D174" s="53"/>
      <c r="E174" s="56"/>
      <c r="F174" s="56"/>
      <c r="G174" s="56"/>
      <c r="H174" s="56"/>
      <c r="I174" s="56"/>
      <c r="J174" s="56"/>
      <c r="K174" s="56"/>
      <c r="L174" s="56"/>
      <c r="M174" s="56"/>
      <c r="N174" s="53"/>
      <c r="O174" s="53"/>
      <c r="P174" s="1">
        <f>IF(AND(H174="Yes",K174=""),ROW(),"")</f>
      </c>
      <c r="Q174">
        <f>IF(C174="","",1+IF(I174="Yes",1,0))</f>
      </c>
      <c r="R174">
        <f>IF(AND(C174&lt;&gt;"",F174&lt;&gt;"",F174&lt;&gt;"Guest"),ROW(),"")</f>
      </c>
    </row>
    <row r="175" ht="19" customHeight="1" spans="1:18" x14ac:dyDescent="0.25">
      <c r="A175" s="1"/>
      <c r="B175" s="92">
        <f>IF(C175="","",ROW()-5)</f>
      </c>
      <c r="C175" s="53"/>
      <c r="D175" s="53"/>
      <c r="E175" s="56"/>
      <c r="F175" s="56"/>
      <c r="G175" s="56"/>
      <c r="H175" s="56"/>
      <c r="I175" s="56"/>
      <c r="J175" s="56"/>
      <c r="K175" s="56"/>
      <c r="L175" s="56"/>
      <c r="M175" s="56"/>
      <c r="N175" s="53"/>
      <c r="O175" s="53"/>
      <c r="P175" s="1">
        <f>IF(AND(H175="Yes",K175=""),ROW(),"")</f>
      </c>
      <c r="Q175">
        <f>IF(C175="","",1+IF(I175="Yes",1,0))</f>
      </c>
      <c r="R175">
        <f>IF(AND(C175&lt;&gt;"",F175&lt;&gt;"",F175&lt;&gt;"Guest"),ROW(),"")</f>
      </c>
    </row>
    <row r="176" ht="19" customHeight="1" spans="1:18" x14ac:dyDescent="0.25">
      <c r="A176" s="1"/>
      <c r="B176" s="91">
        <f>IF(C176="","",ROW()-5)</f>
      </c>
      <c r="C176" s="53"/>
      <c r="D176" s="53"/>
      <c r="E176" s="56"/>
      <c r="F176" s="56"/>
      <c r="G176" s="56"/>
      <c r="H176" s="56"/>
      <c r="I176" s="56"/>
      <c r="J176" s="56"/>
      <c r="K176" s="56"/>
      <c r="L176" s="56"/>
      <c r="M176" s="56"/>
      <c r="N176" s="53"/>
      <c r="O176" s="53"/>
      <c r="P176" s="1">
        <f>IF(AND(H176="Yes",K176=""),ROW(),"")</f>
      </c>
      <c r="Q176">
        <f>IF(C176="","",1+IF(I176="Yes",1,0))</f>
      </c>
      <c r="R176">
        <f>IF(AND(C176&lt;&gt;"",F176&lt;&gt;"",F176&lt;&gt;"Guest"),ROW(),"")</f>
      </c>
    </row>
    <row r="177" ht="19" customHeight="1" spans="1:18" x14ac:dyDescent="0.25">
      <c r="A177" s="1"/>
      <c r="B177" s="92">
        <f>IF(C177="","",ROW()-5)</f>
      </c>
      <c r="C177" s="53"/>
      <c r="D177" s="53"/>
      <c r="E177" s="56"/>
      <c r="F177" s="56"/>
      <c r="G177" s="56"/>
      <c r="H177" s="56"/>
      <c r="I177" s="56"/>
      <c r="J177" s="56"/>
      <c r="K177" s="56"/>
      <c r="L177" s="56"/>
      <c r="M177" s="56"/>
      <c r="N177" s="53"/>
      <c r="O177" s="53"/>
      <c r="P177" s="1">
        <f>IF(AND(H177="Yes",K177=""),ROW(),"")</f>
      </c>
      <c r="Q177">
        <f>IF(C177="","",1+IF(I177="Yes",1,0))</f>
      </c>
      <c r="R177">
        <f>IF(AND(C177&lt;&gt;"",F177&lt;&gt;"",F177&lt;&gt;"Guest"),ROW(),"")</f>
      </c>
    </row>
    <row r="178" ht="19" customHeight="1" spans="1:18" x14ac:dyDescent="0.25">
      <c r="A178" s="1"/>
      <c r="B178" s="91">
        <f>IF(C178="","",ROW()-5)</f>
      </c>
      <c r="C178" s="53"/>
      <c r="D178" s="53"/>
      <c r="E178" s="56"/>
      <c r="F178" s="56"/>
      <c r="G178" s="56"/>
      <c r="H178" s="56"/>
      <c r="I178" s="56"/>
      <c r="J178" s="56"/>
      <c r="K178" s="56"/>
      <c r="L178" s="56"/>
      <c r="M178" s="56"/>
      <c r="N178" s="53"/>
      <c r="O178" s="53"/>
      <c r="P178" s="1">
        <f>IF(AND(H178="Yes",K178=""),ROW(),"")</f>
      </c>
      <c r="Q178">
        <f>IF(C178="","",1+IF(I178="Yes",1,0))</f>
      </c>
      <c r="R178">
        <f>IF(AND(C178&lt;&gt;"",F178&lt;&gt;"",F178&lt;&gt;"Guest"),ROW(),"")</f>
      </c>
    </row>
    <row r="179" ht="19" customHeight="1" spans="1:18" x14ac:dyDescent="0.25">
      <c r="A179" s="1"/>
      <c r="B179" s="92">
        <f>IF(C179="","",ROW()-5)</f>
      </c>
      <c r="C179" s="53"/>
      <c r="D179" s="53"/>
      <c r="E179" s="56"/>
      <c r="F179" s="56"/>
      <c r="G179" s="56"/>
      <c r="H179" s="56"/>
      <c r="I179" s="56"/>
      <c r="J179" s="56"/>
      <c r="K179" s="56"/>
      <c r="L179" s="56"/>
      <c r="M179" s="56"/>
      <c r="N179" s="53"/>
      <c r="O179" s="53"/>
      <c r="P179" s="1">
        <f>IF(AND(H179="Yes",K179=""),ROW(),"")</f>
      </c>
      <c r="Q179">
        <f>IF(C179="","",1+IF(I179="Yes",1,0))</f>
      </c>
      <c r="R179">
        <f>IF(AND(C179&lt;&gt;"",F179&lt;&gt;"",F179&lt;&gt;"Guest"),ROW(),"")</f>
      </c>
    </row>
    <row r="180" ht="19" customHeight="1" spans="1:18" x14ac:dyDescent="0.25">
      <c r="A180" s="1"/>
      <c r="B180" s="91">
        <f>IF(C180="","",ROW()-5)</f>
      </c>
      <c r="C180" s="53"/>
      <c r="D180" s="53"/>
      <c r="E180" s="56"/>
      <c r="F180" s="56"/>
      <c r="G180" s="56"/>
      <c r="H180" s="56"/>
      <c r="I180" s="56"/>
      <c r="J180" s="56"/>
      <c r="K180" s="56"/>
      <c r="L180" s="56"/>
      <c r="M180" s="56"/>
      <c r="N180" s="53"/>
      <c r="O180" s="53"/>
      <c r="P180" s="1">
        <f>IF(AND(H180="Yes",K180=""),ROW(),"")</f>
      </c>
      <c r="Q180">
        <f>IF(C180="","",1+IF(I180="Yes",1,0))</f>
      </c>
      <c r="R180">
        <f>IF(AND(C180&lt;&gt;"",F180&lt;&gt;"",F180&lt;&gt;"Guest"),ROW(),"")</f>
      </c>
    </row>
    <row r="181" ht="19" customHeight="1" spans="1:18" x14ac:dyDescent="0.25">
      <c r="A181" s="1"/>
      <c r="B181" s="92">
        <f>IF(C181="","",ROW()-5)</f>
      </c>
      <c r="C181" s="53"/>
      <c r="D181" s="53"/>
      <c r="E181" s="56"/>
      <c r="F181" s="56"/>
      <c r="G181" s="56"/>
      <c r="H181" s="56"/>
      <c r="I181" s="56"/>
      <c r="J181" s="56"/>
      <c r="K181" s="56"/>
      <c r="L181" s="56"/>
      <c r="M181" s="56"/>
      <c r="N181" s="53"/>
      <c r="O181" s="53"/>
      <c r="P181" s="1">
        <f>IF(AND(H181="Yes",K181=""),ROW(),"")</f>
      </c>
      <c r="Q181">
        <f>IF(C181="","",1+IF(I181="Yes",1,0))</f>
      </c>
      <c r="R181">
        <f>IF(AND(C181&lt;&gt;"",F181&lt;&gt;"",F181&lt;&gt;"Guest"),ROW(),"")</f>
      </c>
    </row>
    <row r="182" ht="19" customHeight="1" spans="1:18" x14ac:dyDescent="0.25">
      <c r="A182" s="1"/>
      <c r="B182" s="91">
        <f>IF(C182="","",ROW()-5)</f>
      </c>
      <c r="C182" s="53"/>
      <c r="D182" s="53"/>
      <c r="E182" s="56"/>
      <c r="F182" s="56"/>
      <c r="G182" s="56"/>
      <c r="H182" s="56"/>
      <c r="I182" s="56"/>
      <c r="J182" s="56"/>
      <c r="K182" s="56"/>
      <c r="L182" s="56"/>
      <c r="M182" s="56"/>
      <c r="N182" s="53"/>
      <c r="O182" s="53"/>
      <c r="P182" s="1">
        <f>IF(AND(H182="Yes",K182=""),ROW(),"")</f>
      </c>
      <c r="Q182">
        <f>IF(C182="","",1+IF(I182="Yes",1,0))</f>
      </c>
      <c r="R182">
        <f>IF(AND(C182&lt;&gt;"",F182&lt;&gt;"",F182&lt;&gt;"Guest"),ROW(),"")</f>
      </c>
    </row>
    <row r="183" ht="19" customHeight="1" spans="1:18" x14ac:dyDescent="0.25">
      <c r="A183" s="1"/>
      <c r="B183" s="92">
        <f>IF(C183="","",ROW()-5)</f>
      </c>
      <c r="C183" s="53"/>
      <c r="D183" s="53"/>
      <c r="E183" s="56"/>
      <c r="F183" s="56"/>
      <c r="G183" s="56"/>
      <c r="H183" s="56"/>
      <c r="I183" s="56"/>
      <c r="J183" s="56"/>
      <c r="K183" s="56"/>
      <c r="L183" s="56"/>
      <c r="M183" s="56"/>
      <c r="N183" s="53"/>
      <c r="O183" s="53"/>
      <c r="P183" s="1">
        <f>IF(AND(H183="Yes",K183=""),ROW(),"")</f>
      </c>
      <c r="Q183">
        <f>IF(C183="","",1+IF(I183="Yes",1,0))</f>
      </c>
      <c r="R183">
        <f>IF(AND(C183&lt;&gt;"",F183&lt;&gt;"",F183&lt;&gt;"Guest"),ROW(),"")</f>
      </c>
    </row>
    <row r="184" ht="19" customHeight="1" spans="1:18" x14ac:dyDescent="0.25">
      <c r="A184" s="1"/>
      <c r="B184" s="91">
        <f>IF(C184="","",ROW()-5)</f>
      </c>
      <c r="C184" s="53"/>
      <c r="D184" s="53"/>
      <c r="E184" s="56"/>
      <c r="F184" s="56"/>
      <c r="G184" s="56"/>
      <c r="H184" s="56"/>
      <c r="I184" s="56"/>
      <c r="J184" s="56"/>
      <c r="K184" s="56"/>
      <c r="L184" s="56"/>
      <c r="M184" s="56"/>
      <c r="N184" s="53"/>
      <c r="O184" s="53"/>
      <c r="P184" s="1">
        <f>IF(AND(H184="Yes",K184=""),ROW(),"")</f>
      </c>
      <c r="Q184">
        <f>IF(C184="","",1+IF(I184="Yes",1,0))</f>
      </c>
      <c r="R184">
        <f>IF(AND(C184&lt;&gt;"",F184&lt;&gt;"",F184&lt;&gt;"Guest"),ROW(),"")</f>
      </c>
    </row>
    <row r="185" ht="19" customHeight="1" spans="1:18" x14ac:dyDescent="0.25">
      <c r="A185" s="1"/>
      <c r="B185" s="92">
        <f>IF(C185="","",ROW()-5)</f>
      </c>
      <c r="C185" s="53"/>
      <c r="D185" s="53"/>
      <c r="E185" s="56"/>
      <c r="F185" s="56"/>
      <c r="G185" s="56"/>
      <c r="H185" s="56"/>
      <c r="I185" s="56"/>
      <c r="J185" s="56"/>
      <c r="K185" s="56"/>
      <c r="L185" s="56"/>
      <c r="M185" s="56"/>
      <c r="N185" s="53"/>
      <c r="O185" s="53"/>
      <c r="P185" s="1">
        <f>IF(AND(H185="Yes",K185=""),ROW(),"")</f>
      </c>
      <c r="Q185">
        <f>IF(C185="","",1+IF(I185="Yes",1,0))</f>
      </c>
      <c r="R185">
        <f>IF(AND(C185&lt;&gt;"",F185&lt;&gt;"",F185&lt;&gt;"Guest"),ROW(),"")</f>
      </c>
    </row>
    <row r="186" ht="19" customHeight="1" spans="1:18" x14ac:dyDescent="0.25">
      <c r="A186" s="1"/>
      <c r="B186" s="91">
        <f>IF(C186="","",ROW()-5)</f>
      </c>
      <c r="C186" s="53"/>
      <c r="D186" s="53"/>
      <c r="E186" s="56"/>
      <c r="F186" s="56"/>
      <c r="G186" s="56"/>
      <c r="H186" s="56"/>
      <c r="I186" s="56"/>
      <c r="J186" s="56"/>
      <c r="K186" s="56"/>
      <c r="L186" s="56"/>
      <c r="M186" s="56"/>
      <c r="N186" s="53"/>
      <c r="O186" s="53"/>
      <c r="P186" s="1">
        <f>IF(AND(H186="Yes",K186=""),ROW(),"")</f>
      </c>
      <c r="Q186">
        <f>IF(C186="","",1+IF(I186="Yes",1,0))</f>
      </c>
      <c r="R186">
        <f>IF(AND(C186&lt;&gt;"",F186&lt;&gt;"",F186&lt;&gt;"Guest"),ROW(),"")</f>
      </c>
    </row>
    <row r="187" ht="19" customHeight="1" spans="1:18" x14ac:dyDescent="0.25">
      <c r="A187" s="1"/>
      <c r="B187" s="92">
        <f>IF(C187="","",ROW()-5)</f>
      </c>
      <c r="C187" s="53"/>
      <c r="D187" s="53"/>
      <c r="E187" s="56"/>
      <c r="F187" s="56"/>
      <c r="G187" s="56"/>
      <c r="H187" s="56"/>
      <c r="I187" s="56"/>
      <c r="J187" s="56"/>
      <c r="K187" s="56"/>
      <c r="L187" s="56"/>
      <c r="M187" s="56"/>
      <c r="N187" s="53"/>
      <c r="O187" s="53"/>
      <c r="P187" s="1">
        <f>IF(AND(H187="Yes",K187=""),ROW(),"")</f>
      </c>
      <c r="Q187">
        <f>IF(C187="","",1+IF(I187="Yes",1,0))</f>
      </c>
      <c r="R187">
        <f>IF(AND(C187&lt;&gt;"",F187&lt;&gt;"",F187&lt;&gt;"Guest"),ROW(),"")</f>
      </c>
    </row>
    <row r="188" ht="19" customHeight="1" spans="1:18" x14ac:dyDescent="0.25">
      <c r="A188" s="1"/>
      <c r="B188" s="91">
        <f>IF(C188="","",ROW()-5)</f>
      </c>
      <c r="C188" s="53"/>
      <c r="D188" s="53"/>
      <c r="E188" s="56"/>
      <c r="F188" s="56"/>
      <c r="G188" s="56"/>
      <c r="H188" s="56"/>
      <c r="I188" s="56"/>
      <c r="J188" s="56"/>
      <c r="K188" s="56"/>
      <c r="L188" s="56"/>
      <c r="M188" s="56"/>
      <c r="N188" s="53"/>
      <c r="O188" s="53"/>
      <c r="P188" s="1">
        <f>IF(AND(H188="Yes",K188=""),ROW(),"")</f>
      </c>
      <c r="Q188">
        <f>IF(C188="","",1+IF(I188="Yes",1,0))</f>
      </c>
      <c r="R188">
        <f>IF(AND(C188&lt;&gt;"",F188&lt;&gt;"",F188&lt;&gt;"Guest"),ROW(),"")</f>
      </c>
    </row>
    <row r="189" ht="19" customHeight="1" spans="1:18" x14ac:dyDescent="0.25">
      <c r="A189" s="1"/>
      <c r="B189" s="92">
        <f>IF(C189="","",ROW()-5)</f>
      </c>
      <c r="C189" s="53"/>
      <c r="D189" s="53"/>
      <c r="E189" s="56"/>
      <c r="F189" s="56"/>
      <c r="G189" s="56"/>
      <c r="H189" s="56"/>
      <c r="I189" s="56"/>
      <c r="J189" s="56"/>
      <c r="K189" s="56"/>
      <c r="L189" s="56"/>
      <c r="M189" s="56"/>
      <c r="N189" s="53"/>
      <c r="O189" s="53"/>
      <c r="P189" s="1">
        <f>IF(AND(H189="Yes",K189=""),ROW(),"")</f>
      </c>
      <c r="Q189">
        <f>IF(C189="","",1+IF(I189="Yes",1,0))</f>
      </c>
      <c r="R189">
        <f>IF(AND(C189&lt;&gt;"",F189&lt;&gt;"",F189&lt;&gt;"Guest"),ROW(),"")</f>
      </c>
    </row>
    <row r="190" ht="19" customHeight="1" spans="1:18" x14ac:dyDescent="0.25">
      <c r="A190" s="1"/>
      <c r="B190" s="91">
        <f>IF(C190="","",ROW()-5)</f>
      </c>
      <c r="C190" s="53"/>
      <c r="D190" s="53"/>
      <c r="E190" s="56"/>
      <c r="F190" s="56"/>
      <c r="G190" s="56"/>
      <c r="H190" s="56"/>
      <c r="I190" s="56"/>
      <c r="J190" s="56"/>
      <c r="K190" s="56"/>
      <c r="L190" s="56"/>
      <c r="M190" s="56"/>
      <c r="N190" s="53"/>
      <c r="O190" s="53"/>
      <c r="P190" s="1">
        <f>IF(AND(H190="Yes",K190=""),ROW(),"")</f>
      </c>
      <c r="Q190">
        <f>IF(C190="","",1+IF(I190="Yes",1,0))</f>
      </c>
      <c r="R190">
        <f>IF(AND(C190&lt;&gt;"",F190&lt;&gt;"",F190&lt;&gt;"Guest"),ROW(),"")</f>
      </c>
    </row>
    <row r="191" ht="19" customHeight="1" spans="1:18" x14ac:dyDescent="0.25">
      <c r="A191" s="1"/>
      <c r="B191" s="92">
        <f>IF(C191="","",ROW()-5)</f>
      </c>
      <c r="C191" s="53"/>
      <c r="D191" s="53"/>
      <c r="E191" s="56"/>
      <c r="F191" s="56"/>
      <c r="G191" s="56"/>
      <c r="H191" s="56"/>
      <c r="I191" s="56"/>
      <c r="J191" s="56"/>
      <c r="K191" s="56"/>
      <c r="L191" s="56"/>
      <c r="M191" s="56"/>
      <c r="N191" s="53"/>
      <c r="O191" s="53"/>
      <c r="P191" s="1">
        <f>IF(AND(H191="Yes",K191=""),ROW(),"")</f>
      </c>
      <c r="Q191">
        <f>IF(C191="","",1+IF(I191="Yes",1,0))</f>
      </c>
      <c r="R191">
        <f>IF(AND(C191&lt;&gt;"",F191&lt;&gt;"",F191&lt;&gt;"Guest"),ROW(),"")</f>
      </c>
    </row>
    <row r="192" ht="19" customHeight="1" spans="1:18" x14ac:dyDescent="0.25">
      <c r="A192" s="1"/>
      <c r="B192" s="91">
        <f>IF(C192="","",ROW()-5)</f>
      </c>
      <c r="C192" s="53"/>
      <c r="D192" s="53"/>
      <c r="E192" s="56"/>
      <c r="F192" s="56"/>
      <c r="G192" s="56"/>
      <c r="H192" s="56"/>
      <c r="I192" s="56"/>
      <c r="J192" s="56"/>
      <c r="K192" s="56"/>
      <c r="L192" s="56"/>
      <c r="M192" s="56"/>
      <c r="N192" s="53"/>
      <c r="O192" s="53"/>
      <c r="P192" s="1">
        <f>IF(AND(H192="Yes",K192=""),ROW(),"")</f>
      </c>
      <c r="Q192">
        <f>IF(C192="","",1+IF(I192="Yes",1,0))</f>
      </c>
      <c r="R192">
        <f>IF(AND(C192&lt;&gt;"",F192&lt;&gt;"",F192&lt;&gt;"Guest"),ROW(),"")</f>
      </c>
    </row>
    <row r="193" ht="19" customHeight="1" spans="1:18" x14ac:dyDescent="0.25">
      <c r="A193" s="1"/>
      <c r="B193" s="92">
        <f>IF(C193="","",ROW()-5)</f>
      </c>
      <c r="C193" s="53"/>
      <c r="D193" s="53"/>
      <c r="E193" s="56"/>
      <c r="F193" s="56"/>
      <c r="G193" s="56"/>
      <c r="H193" s="56"/>
      <c r="I193" s="56"/>
      <c r="J193" s="56"/>
      <c r="K193" s="56"/>
      <c r="L193" s="56"/>
      <c r="M193" s="56"/>
      <c r="N193" s="53"/>
      <c r="O193" s="53"/>
      <c r="P193" s="1">
        <f>IF(AND(H193="Yes",K193=""),ROW(),"")</f>
      </c>
      <c r="Q193">
        <f>IF(C193="","",1+IF(I193="Yes",1,0))</f>
      </c>
      <c r="R193">
        <f>IF(AND(C193&lt;&gt;"",F193&lt;&gt;"",F193&lt;&gt;"Guest"),ROW(),"")</f>
      </c>
    </row>
    <row r="194" ht="19" customHeight="1" spans="1:18" x14ac:dyDescent="0.25">
      <c r="A194" s="1"/>
      <c r="B194" s="91">
        <f>IF(C194="","",ROW()-5)</f>
      </c>
      <c r="C194" s="53"/>
      <c r="D194" s="53"/>
      <c r="E194" s="56"/>
      <c r="F194" s="56"/>
      <c r="G194" s="56"/>
      <c r="H194" s="56"/>
      <c r="I194" s="56"/>
      <c r="J194" s="56"/>
      <c r="K194" s="56"/>
      <c r="L194" s="56"/>
      <c r="M194" s="56"/>
      <c r="N194" s="53"/>
      <c r="O194" s="53"/>
      <c r="P194" s="1">
        <f>IF(AND(H194="Yes",K194=""),ROW(),"")</f>
      </c>
      <c r="Q194">
        <f>IF(C194="","",1+IF(I194="Yes",1,0))</f>
      </c>
      <c r="R194">
        <f>IF(AND(C194&lt;&gt;"",F194&lt;&gt;"",F194&lt;&gt;"Guest"),ROW(),"")</f>
      </c>
    </row>
    <row r="195" ht="19" customHeight="1" spans="1:18" x14ac:dyDescent="0.25">
      <c r="A195" s="1"/>
      <c r="B195" s="92">
        <f>IF(C195="","",ROW()-5)</f>
      </c>
      <c r="C195" s="53"/>
      <c r="D195" s="53"/>
      <c r="E195" s="56"/>
      <c r="F195" s="56"/>
      <c r="G195" s="56"/>
      <c r="H195" s="56"/>
      <c r="I195" s="56"/>
      <c r="J195" s="56"/>
      <c r="K195" s="56"/>
      <c r="L195" s="56"/>
      <c r="M195" s="56"/>
      <c r="N195" s="53"/>
      <c r="O195" s="53"/>
      <c r="P195" s="1">
        <f>IF(AND(H195="Yes",K195=""),ROW(),"")</f>
      </c>
      <c r="Q195">
        <f>IF(C195="","",1+IF(I195="Yes",1,0))</f>
      </c>
      <c r="R195">
        <f>IF(AND(C195&lt;&gt;"",F195&lt;&gt;"",F195&lt;&gt;"Guest"),ROW(),"")</f>
      </c>
    </row>
    <row r="196" ht="19" customHeight="1" spans="1:18" x14ac:dyDescent="0.25">
      <c r="A196" s="1"/>
      <c r="B196" s="91">
        <f>IF(C196="","",ROW()-5)</f>
      </c>
      <c r="C196" s="53"/>
      <c r="D196" s="53"/>
      <c r="E196" s="56"/>
      <c r="F196" s="56"/>
      <c r="G196" s="56"/>
      <c r="H196" s="56"/>
      <c r="I196" s="56"/>
      <c r="J196" s="56"/>
      <c r="K196" s="56"/>
      <c r="L196" s="56"/>
      <c r="M196" s="56"/>
      <c r="N196" s="53"/>
      <c r="O196" s="53"/>
      <c r="P196" s="1">
        <f>IF(AND(H196="Yes",K196=""),ROW(),"")</f>
      </c>
      <c r="Q196">
        <f>IF(C196="","",1+IF(I196="Yes",1,0))</f>
      </c>
      <c r="R196">
        <f>IF(AND(C196&lt;&gt;"",F196&lt;&gt;"",F196&lt;&gt;"Guest"),ROW(),"")</f>
      </c>
    </row>
    <row r="197" ht="19" customHeight="1" spans="1:18" x14ac:dyDescent="0.25">
      <c r="A197" s="1"/>
      <c r="B197" s="92">
        <f>IF(C197="","",ROW()-5)</f>
      </c>
      <c r="C197" s="53"/>
      <c r="D197" s="53"/>
      <c r="E197" s="56"/>
      <c r="F197" s="56"/>
      <c r="G197" s="56"/>
      <c r="H197" s="56"/>
      <c r="I197" s="56"/>
      <c r="J197" s="56"/>
      <c r="K197" s="56"/>
      <c r="L197" s="56"/>
      <c r="M197" s="56"/>
      <c r="N197" s="53"/>
      <c r="O197" s="53"/>
      <c r="P197" s="1">
        <f>IF(AND(H197="Yes",K197=""),ROW(),"")</f>
      </c>
      <c r="Q197">
        <f>IF(C197="","",1+IF(I197="Yes",1,0))</f>
      </c>
      <c r="R197">
        <f>IF(AND(C197&lt;&gt;"",F197&lt;&gt;"",F197&lt;&gt;"Guest"),ROW(),"")</f>
      </c>
    </row>
    <row r="198" ht="19" customHeight="1" spans="1:18" x14ac:dyDescent="0.25">
      <c r="A198" s="1"/>
      <c r="B198" s="91">
        <f>IF(C198="","",ROW()-5)</f>
      </c>
      <c r="C198" s="53"/>
      <c r="D198" s="53"/>
      <c r="E198" s="56"/>
      <c r="F198" s="56"/>
      <c r="G198" s="56"/>
      <c r="H198" s="56"/>
      <c r="I198" s="56"/>
      <c r="J198" s="56"/>
      <c r="K198" s="56"/>
      <c r="L198" s="56"/>
      <c r="M198" s="56"/>
      <c r="N198" s="53"/>
      <c r="O198" s="53"/>
      <c r="P198" s="1">
        <f>IF(AND(H198="Yes",K198=""),ROW(),"")</f>
      </c>
      <c r="Q198">
        <f>IF(C198="","",1+IF(I198="Yes",1,0))</f>
      </c>
      <c r="R198">
        <f>IF(AND(C198&lt;&gt;"",F198&lt;&gt;"",F198&lt;&gt;"Guest"),ROW(),"")</f>
      </c>
    </row>
    <row r="199" ht="19" customHeight="1" spans="1:18" x14ac:dyDescent="0.25">
      <c r="A199" s="1"/>
      <c r="B199" s="92">
        <f>IF(C199="","",ROW()-5)</f>
      </c>
      <c r="C199" s="53"/>
      <c r="D199" s="53"/>
      <c r="E199" s="56"/>
      <c r="F199" s="56"/>
      <c r="G199" s="56"/>
      <c r="H199" s="56"/>
      <c r="I199" s="56"/>
      <c r="J199" s="56"/>
      <c r="K199" s="56"/>
      <c r="L199" s="56"/>
      <c r="M199" s="56"/>
      <c r="N199" s="53"/>
      <c r="O199" s="53"/>
      <c r="P199" s="1">
        <f>IF(AND(H199="Yes",K199=""),ROW(),"")</f>
      </c>
      <c r="Q199">
        <f>IF(C199="","",1+IF(I199="Yes",1,0))</f>
      </c>
      <c r="R199">
        <f>IF(AND(C199&lt;&gt;"",F199&lt;&gt;"",F199&lt;&gt;"Guest"),ROW(),"")</f>
      </c>
    </row>
    <row r="200" ht="19" customHeight="1" spans="1:18" x14ac:dyDescent="0.25">
      <c r="A200" s="1"/>
      <c r="B200" s="91">
        <f>IF(C200="","",ROW()-5)</f>
      </c>
      <c r="C200" s="53"/>
      <c r="D200" s="53"/>
      <c r="E200" s="56"/>
      <c r="F200" s="56"/>
      <c r="G200" s="56"/>
      <c r="H200" s="56"/>
      <c r="I200" s="56"/>
      <c r="J200" s="56"/>
      <c r="K200" s="56"/>
      <c r="L200" s="56"/>
      <c r="M200" s="56"/>
      <c r="N200" s="53"/>
      <c r="O200" s="53"/>
      <c r="P200" s="1">
        <f>IF(AND(H200="Yes",K200=""),ROW(),"")</f>
      </c>
      <c r="Q200">
        <f>IF(C200="","",1+IF(I200="Yes",1,0))</f>
      </c>
      <c r="R200">
        <f>IF(AND(C200&lt;&gt;"",F200&lt;&gt;"",F200&lt;&gt;"Guest"),ROW(),"")</f>
      </c>
    </row>
    <row r="201" ht="19" customHeight="1" spans="1:18" x14ac:dyDescent="0.25">
      <c r="A201" s="1"/>
      <c r="B201" s="92">
        <f>IF(C201="","",ROW()-5)</f>
      </c>
      <c r="C201" s="53"/>
      <c r="D201" s="53"/>
      <c r="E201" s="56"/>
      <c r="F201" s="56"/>
      <c r="G201" s="56"/>
      <c r="H201" s="56"/>
      <c r="I201" s="56"/>
      <c r="J201" s="56"/>
      <c r="K201" s="56"/>
      <c r="L201" s="56"/>
      <c r="M201" s="56"/>
      <c r="N201" s="53"/>
      <c r="O201" s="53"/>
      <c r="P201" s="1">
        <f>IF(AND(H201="Yes",K201=""),ROW(),"")</f>
      </c>
      <c r="Q201">
        <f>IF(C201="","",1+IF(I201="Yes",1,0))</f>
      </c>
      <c r="R201">
        <f>IF(AND(C201&lt;&gt;"",F201&lt;&gt;"",F201&lt;&gt;"Guest"),ROW(),"")</f>
      </c>
    </row>
    <row r="202" ht="19" customHeight="1" spans="1:18" x14ac:dyDescent="0.25">
      <c r="A202" s="1"/>
      <c r="B202" s="91">
        <f>IF(C202="","",ROW()-5)</f>
      </c>
      <c r="C202" s="53"/>
      <c r="D202" s="53"/>
      <c r="E202" s="56"/>
      <c r="F202" s="56"/>
      <c r="G202" s="56"/>
      <c r="H202" s="56"/>
      <c r="I202" s="56"/>
      <c r="J202" s="56"/>
      <c r="K202" s="56"/>
      <c r="L202" s="56"/>
      <c r="M202" s="56"/>
      <c r="N202" s="53"/>
      <c r="O202" s="53"/>
      <c r="P202" s="1">
        <f>IF(AND(H202="Yes",K202=""),ROW(),"")</f>
      </c>
      <c r="Q202">
        <f>IF(C202="","",1+IF(I202="Yes",1,0))</f>
      </c>
      <c r="R202">
        <f>IF(AND(C202&lt;&gt;"",F202&lt;&gt;"",F202&lt;&gt;"Guest"),ROW(),"")</f>
      </c>
    </row>
    <row r="203" ht="19" customHeight="1" spans="1:18" x14ac:dyDescent="0.25">
      <c r="A203" s="1"/>
      <c r="B203" s="92">
        <f>IF(C203="","",ROW()-5)</f>
      </c>
      <c r="C203" s="53"/>
      <c r="D203" s="53"/>
      <c r="E203" s="56"/>
      <c r="F203" s="56"/>
      <c r="G203" s="56"/>
      <c r="H203" s="56"/>
      <c r="I203" s="56"/>
      <c r="J203" s="56"/>
      <c r="K203" s="56"/>
      <c r="L203" s="56"/>
      <c r="M203" s="56"/>
      <c r="N203" s="53"/>
      <c r="O203" s="53"/>
      <c r="P203" s="1">
        <f>IF(AND(H203="Yes",K203=""),ROW(),"")</f>
      </c>
      <c r="Q203">
        <f>IF(C203="","",1+IF(I203="Yes",1,0))</f>
      </c>
      <c r="R203">
        <f>IF(AND(C203&lt;&gt;"",F203&lt;&gt;"",F203&lt;&gt;"Guest"),ROW(),"")</f>
      </c>
    </row>
    <row r="204" ht="19" customHeight="1" spans="1:18" x14ac:dyDescent="0.25">
      <c r="A204" s="1"/>
      <c r="B204" s="91">
        <f>IF(C204="","",ROW()-5)</f>
      </c>
      <c r="C204" s="53"/>
      <c r="D204" s="53"/>
      <c r="E204" s="56"/>
      <c r="F204" s="56"/>
      <c r="G204" s="56"/>
      <c r="H204" s="56"/>
      <c r="I204" s="56"/>
      <c r="J204" s="56"/>
      <c r="K204" s="56"/>
      <c r="L204" s="56"/>
      <c r="M204" s="56"/>
      <c r="N204" s="53"/>
      <c r="O204" s="53"/>
      <c r="P204" s="1">
        <f>IF(AND(H204="Yes",K204=""),ROW(),"")</f>
      </c>
      <c r="Q204">
        <f>IF(C204="","",1+IF(I204="Yes",1,0))</f>
      </c>
      <c r="R204">
        <f>IF(AND(C204&lt;&gt;"",F204&lt;&gt;"",F204&lt;&gt;"Guest"),ROW(),"")</f>
      </c>
    </row>
    <row r="205" ht="19" customHeight="1" spans="1:18" x14ac:dyDescent="0.25">
      <c r="A205" s="1"/>
      <c r="B205" s="92">
        <f>IF(C205="","",ROW()-5)</f>
      </c>
      <c r="C205" s="53"/>
      <c r="D205" s="53"/>
      <c r="E205" s="56"/>
      <c r="F205" s="56"/>
      <c r="G205" s="56"/>
      <c r="H205" s="56"/>
      <c r="I205" s="56"/>
      <c r="J205" s="56"/>
      <c r="K205" s="56"/>
      <c r="L205" s="56"/>
      <c r="M205" s="56"/>
      <c r="N205" s="53"/>
      <c r="O205" s="53"/>
      <c r="P205" s="1">
        <f>IF(AND(H205="Yes",K205=""),ROW(),"")</f>
      </c>
      <c r="Q205">
        <f>IF(C205="","",1+IF(I205="Yes",1,0))</f>
      </c>
      <c r="R205">
        <f>IF(AND(C205&lt;&gt;"",F205&lt;&gt;"",F205&lt;&gt;"Guest"),ROW(),"")</f>
      </c>
    </row>
    <row r="206" spans="1:16" x14ac:dyDescent="0.25">
      <c r="A206" s="1"/>
      <c r="B206" s="1"/>
      <c r="C206" s="1"/>
      <c r="D206" s="1"/>
      <c r="E206" s="1"/>
      <c r="F206" s="1"/>
      <c r="G206" s="1"/>
      <c r="H206" s="1"/>
      <c r="I206" s="1"/>
      <c r="J206" s="1"/>
      <c r="K206" s="1"/>
      <c r="L206" s="1"/>
      <c r="M206" s="1"/>
      <c r="N206" s="1"/>
      <c r="O206" s="1"/>
      <c r="P206" s="1"/>
    </row>
    <row r="207" ht="30" customHeight="1" spans="1:16" x14ac:dyDescent="0.25">
      <c r="A207" s="1"/>
      <c r="B207" s="48" t="s">
        <v>275</v>
      </c>
      <c r="C207" s="48"/>
      <c r="D207" s="48"/>
      <c r="E207" s="48"/>
      <c r="F207" s="48"/>
      <c r="G207" s="48"/>
      <c r="H207" s="48"/>
      <c r="I207" s="48"/>
      <c r="J207" s="48"/>
      <c r="K207" s="48"/>
      <c r="L207" s="48"/>
      <c r="M207" s="48"/>
      <c r="N207" s="1"/>
      <c r="O207" s="1"/>
      <c r="P207" s="1"/>
    </row>
    <row r="208" spans="1:16" x14ac:dyDescent="0.25">
      <c r="A208" s="1"/>
      <c r="B208" s="1"/>
      <c r="C208" s="1"/>
      <c r="D208" s="1"/>
      <c r="E208" s="1"/>
      <c r="F208" s="1"/>
      <c r="G208" s="1"/>
      <c r="H208" s="1"/>
      <c r="I208" s="1"/>
      <c r="J208" s="1"/>
      <c r="K208" s="1"/>
      <c r="L208" s="1"/>
      <c r="M208" s="1"/>
      <c r="N208" s="1"/>
      <c r="O208" s="1"/>
      <c r="P208" s="1"/>
    </row>
    <row r="209" spans="1:16" x14ac:dyDescent="0.25">
      <c r="A209" s="1"/>
      <c r="B209" s="1"/>
      <c r="C209" s="1"/>
      <c r="D209" s="1"/>
      <c r="E209" s="1"/>
      <c r="F209" s="1"/>
      <c r="G209" s="1"/>
      <c r="H209" s="1"/>
      <c r="I209" s="1"/>
      <c r="J209" s="1"/>
      <c r="K209" s="1"/>
      <c r="L209" s="1"/>
      <c r="M209" s="1"/>
      <c r="N209" s="1"/>
      <c r="O209" s="1"/>
      <c r="P209" s="1"/>
    </row>
    <row r="210" spans="1:16" x14ac:dyDescent="0.25">
      <c r="A210" s="1"/>
      <c r="B210" s="1"/>
      <c r="C210" s="1"/>
      <c r="D210" s="1"/>
      <c r="E210" s="1"/>
      <c r="F210" s="1"/>
      <c r="G210" s="1"/>
      <c r="H210" s="1"/>
      <c r="I210" s="1"/>
      <c r="J210" s="1"/>
      <c r="K210" s="1"/>
      <c r="L210" s="1"/>
      <c r="M210" s="1"/>
      <c r="N210" s="1"/>
      <c r="O210" s="1"/>
      <c r="P210" s="1"/>
    </row>
    <row r="211" spans="1:16" x14ac:dyDescent="0.25">
      <c r="A211" s="1"/>
      <c r="B211" s="1"/>
      <c r="C211" s="1"/>
      <c r="D211" s="1"/>
      <c r="E211" s="1"/>
      <c r="F211" s="1"/>
      <c r="G211" s="1"/>
      <c r="H211" s="1"/>
      <c r="I211" s="1"/>
      <c r="J211" s="1"/>
      <c r="K211" s="1"/>
      <c r="L211" s="1"/>
      <c r="M211" s="1"/>
      <c r="N211" s="1"/>
      <c r="O211" s="1"/>
      <c r="P211" s="1"/>
    </row>
    <row r="212" spans="1:16" x14ac:dyDescent="0.25">
      <c r="A212" s="1"/>
      <c r="B212" s="1"/>
      <c r="C212" s="1"/>
      <c r="D212" s="1"/>
      <c r="E212" s="1"/>
      <c r="F212" s="1"/>
      <c r="G212" s="1"/>
      <c r="H212" s="1"/>
      <c r="I212" s="1"/>
      <c r="J212" s="1"/>
      <c r="K212" s="1"/>
      <c r="L212" s="1"/>
      <c r="M212" s="1"/>
      <c r="N212" s="1"/>
      <c r="O212" s="1"/>
      <c r="P212" s="1"/>
    </row>
    <row r="213" spans="1:16" x14ac:dyDescent="0.25">
      <c r="A213" s="1"/>
      <c r="B213" s="1"/>
      <c r="C213" s="1"/>
      <c r="D213" s="1"/>
      <c r="E213" s="1"/>
      <c r="F213" s="1"/>
      <c r="G213" s="1"/>
      <c r="H213" s="1"/>
      <c r="I213" s="1"/>
      <c r="J213" s="1"/>
      <c r="K213" s="1"/>
      <c r="L213" s="1"/>
      <c r="M213" s="1"/>
      <c r="N213" s="1"/>
      <c r="O213" s="1"/>
      <c r="P213" s="1"/>
    </row>
    <row r="214" spans="1:16" x14ac:dyDescent="0.25">
      <c r="A214" s="1"/>
      <c r="B214" s="1"/>
      <c r="C214" s="1"/>
      <c r="D214" s="1"/>
      <c r="E214" s="1"/>
      <c r="F214" s="1"/>
      <c r="G214" s="1"/>
      <c r="H214" s="1"/>
      <c r="I214" s="1"/>
      <c r="J214" s="1"/>
      <c r="K214" s="1"/>
      <c r="L214" s="1"/>
      <c r="M214" s="1"/>
      <c r="N214" s="1"/>
      <c r="O214" s="1"/>
      <c r="P214" s="1"/>
    </row>
    <row r="215" spans="1:16" x14ac:dyDescent="0.25">
      <c r="A215" s="1"/>
      <c r="B215" s="1"/>
      <c r="C215" s="1"/>
      <c r="D215" s="1"/>
      <c r="E215" s="1"/>
      <c r="F215" s="1"/>
      <c r="G215" s="1"/>
      <c r="H215" s="1"/>
      <c r="I215" s="1"/>
      <c r="J215" s="1"/>
      <c r="K215" s="1"/>
      <c r="L215" s="1"/>
      <c r="M215" s="1"/>
      <c r="N215" s="1"/>
      <c r="O215" s="1"/>
      <c r="P215" s="1"/>
    </row>
  </sheetData>
  <mergeCells count="3">
    <mergeCell ref="B2:O2"/>
    <mergeCell ref="B3:O3"/>
    <mergeCell ref="B207:M207"/>
  </mergeCells>
  <conditionalFormatting sqref="H6:H205">
    <cfRule type="expression" dxfId="12" priority="1">
      <formula>H6="Yes"</formula>
    </cfRule>
  </conditionalFormatting>
  <conditionalFormatting sqref="H6:H205">
    <cfRule type="expression" dxfId="13" priority="1">
      <formula>H6="No"</formula>
    </cfRule>
  </conditionalFormatting>
  <conditionalFormatting sqref="H6:H205">
    <cfRule type="expression" dxfId="14" priority="1">
      <formula>H6="Pending"</formula>
    </cfRule>
  </conditionalFormatting>
  <conditionalFormatting sqref="G6:G205">
    <cfRule type="expression" dxfId="15" priority="1">
      <formula>G6="No"</formula>
    </cfRule>
  </conditionalFormatting>
  <conditionalFormatting sqref="M6:M205">
    <cfRule type="expression" dxfId="16" priority="1">
      <formula>AND(L6="Yes",M6="No")</formula>
    </cfRule>
  </conditionalFormatting>
  <conditionalFormatting sqref="F6:F205">
    <cfRule type="expression" dxfId="17" priority="1">
      <formula>AND(F6&lt;&gt;"",F6&lt;&gt;"Guest")</formula>
    </cfRule>
  </conditionalFormatting>
  <dataValidations count="9">
    <dataValidation type="list" allowBlank="1" sqref="D6:D205">
      <formula1>Setup!$B$19:$B$23</formula1>
    </dataValidation>
    <dataValidation type="list" allowBlank="1" sqref="E6:E205">
      <formula1>Setup!$C$5:$C$6</formula1>
    </dataValidation>
    <dataValidation type="list" allowBlank="1" sqref="F6:F205">
      <formula1>"Guest,Bride,Groom,Maid of Honour,Best Man,Bridesmaid,Groomsman,Officiant,Parent,Grandparent,Reader,Usher,Flower girl,Ring bearer"</formula1>
    </dataValidation>
    <dataValidation type="list" allowBlank="1" sqref="G6:G205">
      <formula1>"Yes,No"</formula1>
    </dataValidation>
    <dataValidation type="list" allowBlank="1" sqref="H6:H205">
      <formula1>"Yes,No,Pending"</formula1>
    </dataValidation>
    <dataValidation type="list" allowBlank="1" sqref="I6:I205">
      <formula1>"Yes,No"</formula1>
    </dataValidation>
    <dataValidation type="list" allowBlank="1" sqref="J6:J205">
      <formula1>"Standard,Vegetarian,Vegan,Gluten free,Kids,Other"</formula1>
    </dataValidation>
    <dataValidation type="list" allowBlank="1" sqref="L6:L205">
      <formula1>"Yes,No"</formula1>
    </dataValidation>
    <dataValidation type="list" allowBlank="1" sqref="M6:M205">
      <formula1>"Yes,No"</formula1>
    </dataValidation>
  </dataValidations>
  <pageMargins left="0.4" right="0.4" top="0.5" bottom="0.5" header="0.2" footer="0.2"/>
  <pageSetup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N45"/>
  <sheetViews>
    <sheetView workbookViewId="0" showGridLines="0" zoomScale="100"/>
  </sheetViews>
  <sheetFormatPr defaultRowHeight="15" outlineLevelRow="0" outlineLevelCol="0" x14ac:dyDescent="55"/>
  <cols>
    <col min="1" max="1" width="3" customWidth="1"/>
    <col min="3" max="3" width="26" customWidth="1"/>
    <col min="4" max="4" width="11" customWidth="1"/>
    <col min="5" max="5" width="10" customWidth="1"/>
    <col min="6" max="6" width="11" customWidth="1"/>
    <col min="7" max="7" width="13" customWidth="1"/>
    <col min="9" max="9" width="26" customWidth="1"/>
    <col min="10" max="12" width="8"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276</v>
      </c>
      <c r="C2" s="34"/>
      <c r="D2" s="34"/>
      <c r="E2" s="34"/>
      <c r="F2" s="34"/>
      <c r="G2" s="34"/>
      <c r="H2" s="34"/>
      <c r="I2" s="34"/>
      <c r="J2" s="34"/>
      <c r="K2" s="34"/>
      <c r="L2" s="34"/>
      <c r="M2" s="34"/>
      <c r="N2" s="1"/>
    </row>
    <row r="3" ht="18" customHeight="1" spans="1:14" x14ac:dyDescent="0.25">
      <c r="A3" s="1"/>
      <c r="B3" s="35" t="s">
        <v>277</v>
      </c>
      <c r="C3" s="35"/>
      <c r="D3" s="35"/>
      <c r="E3" s="35"/>
      <c r="F3" s="35"/>
      <c r="G3" s="35"/>
      <c r="H3" s="35"/>
      <c r="I3" s="35"/>
      <c r="J3" s="35"/>
      <c r="K3" s="35"/>
      <c r="L3" s="35"/>
      <c r="M3" s="35"/>
      <c r="N3" s="1"/>
    </row>
    <row r="4" ht="10" customHeight="1" spans="1:14" x14ac:dyDescent="0.25">
      <c r="A4" s="1"/>
      <c r="B4" s="36"/>
      <c r="C4" s="36"/>
      <c r="D4" s="36"/>
      <c r="E4" s="36"/>
      <c r="F4" s="36"/>
      <c r="G4" s="36"/>
      <c r="H4" s="36"/>
      <c r="I4" s="36"/>
      <c r="J4" s="36"/>
      <c r="K4" s="36"/>
      <c r="L4" s="36"/>
      <c r="M4" s="36"/>
      <c r="N4" s="1"/>
    </row>
    <row r="5" ht="28" customHeight="1" spans="1:14" x14ac:dyDescent="0.25">
      <c r="A5" s="1"/>
      <c r="B5" s="51" t="s">
        <v>278</v>
      </c>
      <c r="C5" s="49" t="s">
        <v>279</v>
      </c>
      <c r="D5" s="51" t="s">
        <v>280</v>
      </c>
      <c r="E5" s="51" t="s">
        <v>281</v>
      </c>
      <c r="F5" s="51" t="s">
        <v>282</v>
      </c>
      <c r="G5" s="51" t="s">
        <v>170</v>
      </c>
      <c r="H5" s="1"/>
      <c r="I5" s="93" t="s">
        <v>283</v>
      </c>
      <c r="J5" s="93"/>
      <c r="K5" s="93"/>
      <c r="L5" s="93"/>
      <c r="M5" s="1"/>
      <c r="N5" s="1"/>
    </row>
    <row r="6" ht="19" customHeight="1" spans="1:14" x14ac:dyDescent="0.25">
      <c r="A6" s="1"/>
      <c r="B6" s="94">
        <v>1</v>
      </c>
      <c r="C6" s="53" t="s">
        <v>284</v>
      </c>
      <c r="D6" s="56">
        <v>8</v>
      </c>
      <c r="E6" s="72">
        <f>IF(B6="","",SUMIF('Guest List'!$K$6:$K$205,B6,'Guest List'!$Q$6:$Q$205))</f>
      </c>
      <c r="F6" s="72">
        <f>IF(B6="","",D6-E6)</f>
      </c>
      <c r="G6" s="72">
        <f>IF(B6="","",IF(E6=0,"Empty",IF(F6&lt;0,"OVER",IF(F6=0,"Full","Open"))))</f>
      </c>
      <c r="H6" s="1"/>
      <c r="I6" s="95">
        <f>IFERROR(INDEX('Guest List'!$C$6:$C$205,MATCH(SMALL('Guest List'!$P$6:$P$205,1),'Guest List'!$P$6:$P$205,0)),"")</f>
      </c>
      <c r="J6" s="95"/>
      <c r="K6" s="95"/>
      <c r="L6" s="95"/>
      <c r="M6" s="1"/>
      <c r="N6" s="1"/>
    </row>
    <row r="7" ht="19" customHeight="1" spans="1:14" x14ac:dyDescent="0.25">
      <c r="A7" s="1"/>
      <c r="B7" s="96">
        <v>2</v>
      </c>
      <c r="C7" s="53" t="s">
        <v>285</v>
      </c>
      <c r="D7" s="56">
        <v>10</v>
      </c>
      <c r="E7" s="74">
        <f>IF(B7="","",SUMIF('Guest List'!$K$6:$K$205,B7,'Guest List'!$Q$6:$Q$205))</f>
      </c>
      <c r="F7" s="74">
        <f>IF(B7="","",D7-E7)</f>
      </c>
      <c r="G7" s="74">
        <f>IF(B7="","",IF(E7=0,"Empty",IF(F7&lt;0,"OVER",IF(F7=0,"Full","Open"))))</f>
      </c>
      <c r="H7" s="1"/>
      <c r="I7" s="97">
        <f>IFERROR(INDEX('Guest List'!$C$6:$C$205,MATCH(SMALL('Guest List'!$P$6:$P$205,2),'Guest List'!$P$6:$P$205,0)),"")</f>
      </c>
      <c r="J7" s="97"/>
      <c r="K7" s="97"/>
      <c r="L7" s="97"/>
      <c r="M7" s="1"/>
      <c r="N7" s="1"/>
    </row>
    <row r="8" ht="19" customHeight="1" spans="1:14" x14ac:dyDescent="0.25">
      <c r="A8" s="1"/>
      <c r="B8" s="94">
        <v>3</v>
      </c>
      <c r="C8" s="53" t="s">
        <v>286</v>
      </c>
      <c r="D8" s="56">
        <v>10</v>
      </c>
      <c r="E8" s="72">
        <f>IF(B8="","",SUMIF('Guest List'!$K$6:$K$205,B8,'Guest List'!$Q$6:$Q$205))</f>
      </c>
      <c r="F8" s="72">
        <f>IF(B8="","",D8-E8)</f>
      </c>
      <c r="G8" s="72">
        <f>IF(B8="","",IF(E8=0,"Empty",IF(F8&lt;0,"OVER",IF(F8=0,"Full","Open"))))</f>
      </c>
      <c r="H8" s="1"/>
      <c r="I8" s="95">
        <f>IFERROR(INDEX('Guest List'!$C$6:$C$205,MATCH(SMALL('Guest List'!$P$6:$P$205,3),'Guest List'!$P$6:$P$205,0)),"")</f>
      </c>
      <c r="J8" s="95"/>
      <c r="K8" s="95"/>
      <c r="L8" s="95"/>
      <c r="M8" s="1"/>
      <c r="N8" s="1"/>
    </row>
    <row r="9" ht="19" customHeight="1" spans="1:14" x14ac:dyDescent="0.25">
      <c r="A9" s="1"/>
      <c r="B9" s="96">
        <v>4</v>
      </c>
      <c r="C9" s="53" t="s">
        <v>287</v>
      </c>
      <c r="D9" s="56">
        <v>10</v>
      </c>
      <c r="E9" s="74">
        <f>IF(B9="","",SUMIF('Guest List'!$K$6:$K$205,B9,'Guest List'!$Q$6:$Q$205))</f>
      </c>
      <c r="F9" s="74">
        <f>IF(B9="","",D9-E9)</f>
      </c>
      <c r="G9" s="74">
        <f>IF(B9="","",IF(E9=0,"Empty",IF(F9&lt;0,"OVER",IF(F9=0,"Full","Open"))))</f>
      </c>
      <c r="H9" s="1"/>
      <c r="I9" s="97">
        <f>IFERROR(INDEX('Guest List'!$C$6:$C$205,MATCH(SMALL('Guest List'!$P$6:$P$205,4),'Guest List'!$P$6:$P$205,0)),"")</f>
      </c>
      <c r="J9" s="97"/>
      <c r="K9" s="97"/>
      <c r="L9" s="97"/>
      <c r="M9" s="1"/>
      <c r="N9" s="1"/>
    </row>
    <row r="10" ht="19" customHeight="1" spans="1:14" x14ac:dyDescent="0.25">
      <c r="A10" s="1"/>
      <c r="B10" s="94">
        <v>5</v>
      </c>
      <c r="C10" s="53" t="s">
        <v>288</v>
      </c>
      <c r="D10" s="56">
        <v>10</v>
      </c>
      <c r="E10" s="72">
        <f>IF(B10="","",SUMIF('Guest List'!$K$6:$K$205,B10,'Guest List'!$Q$6:$Q$205))</f>
      </c>
      <c r="F10" s="72">
        <f>IF(B10="","",D10-E10)</f>
      </c>
      <c r="G10" s="72">
        <f>IF(B10="","",IF(E10=0,"Empty",IF(F10&lt;0,"OVER",IF(F10=0,"Full","Open"))))</f>
      </c>
      <c r="H10" s="1"/>
      <c r="I10" s="95">
        <f>IFERROR(INDEX('Guest List'!$C$6:$C$205,MATCH(SMALL('Guest List'!$P$6:$P$205,5),'Guest List'!$P$6:$P$205,0)),"")</f>
      </c>
      <c r="J10" s="95"/>
      <c r="K10" s="95"/>
      <c r="L10" s="95"/>
      <c r="M10" s="1"/>
      <c r="N10" s="1"/>
    </row>
    <row r="11" ht="19" customHeight="1" spans="1:14" x14ac:dyDescent="0.25">
      <c r="A11" s="1"/>
      <c r="B11" s="96">
        <v>6</v>
      </c>
      <c r="C11" s="53" t="s">
        <v>289</v>
      </c>
      <c r="D11" s="56">
        <v>10</v>
      </c>
      <c r="E11" s="74">
        <f>IF(B11="","",SUMIF('Guest List'!$K$6:$K$205,B11,'Guest List'!$Q$6:$Q$205))</f>
      </c>
      <c r="F11" s="74">
        <f>IF(B11="","",D11-E11)</f>
      </c>
      <c r="G11" s="74">
        <f>IF(B11="","",IF(E11=0,"Empty",IF(F11&lt;0,"OVER",IF(F11=0,"Full","Open"))))</f>
      </c>
      <c r="H11" s="1"/>
      <c r="I11" s="97">
        <f>IFERROR(INDEX('Guest List'!$C$6:$C$205,MATCH(SMALL('Guest List'!$P$6:$P$205,6),'Guest List'!$P$6:$P$205,0)),"")</f>
      </c>
      <c r="J11" s="97"/>
      <c r="K11" s="97"/>
      <c r="L11" s="97"/>
      <c r="M11" s="1"/>
      <c r="N11" s="1"/>
    </row>
    <row r="12" ht="19" customHeight="1" spans="1:14" x14ac:dyDescent="0.25">
      <c r="A12" s="1"/>
      <c r="B12" s="94">
        <v>7</v>
      </c>
      <c r="C12" s="53" t="s">
        <v>290</v>
      </c>
      <c r="D12" s="56">
        <v>10</v>
      </c>
      <c r="E12" s="72">
        <f>IF(B12="","",SUMIF('Guest List'!$K$6:$K$205,B12,'Guest List'!$Q$6:$Q$205))</f>
      </c>
      <c r="F12" s="72">
        <f>IF(B12="","",D12-E12)</f>
      </c>
      <c r="G12" s="72">
        <f>IF(B12="","",IF(E12=0,"Empty",IF(F12&lt;0,"OVER",IF(F12=0,"Full","Open"))))</f>
      </c>
      <c r="H12" s="1"/>
      <c r="I12" s="95">
        <f>IFERROR(INDEX('Guest List'!$C$6:$C$205,MATCH(SMALL('Guest List'!$P$6:$P$205,7),'Guest List'!$P$6:$P$205,0)),"")</f>
      </c>
      <c r="J12" s="95"/>
      <c r="K12" s="95"/>
      <c r="L12" s="95"/>
      <c r="M12" s="1"/>
      <c r="N12" s="1"/>
    </row>
    <row r="13" ht="19" customHeight="1" spans="1:14" x14ac:dyDescent="0.25">
      <c r="A13" s="1"/>
      <c r="B13" s="96">
        <v>8</v>
      </c>
      <c r="C13" s="53" t="s">
        <v>291</v>
      </c>
      <c r="D13" s="56">
        <v>10</v>
      </c>
      <c r="E13" s="74">
        <f>IF(B13="","",SUMIF('Guest List'!$K$6:$K$205,B13,'Guest List'!$Q$6:$Q$205))</f>
      </c>
      <c r="F13" s="74">
        <f>IF(B13="","",D13-E13)</f>
      </c>
      <c r="G13" s="74">
        <f>IF(B13="","",IF(E13=0,"Empty",IF(F13&lt;0,"OVER",IF(F13=0,"Full","Open"))))</f>
      </c>
      <c r="H13" s="1"/>
      <c r="I13" s="97">
        <f>IFERROR(INDEX('Guest List'!$C$6:$C$205,MATCH(SMALL('Guest List'!$P$6:$P$205,8),'Guest List'!$P$6:$P$205,0)),"")</f>
      </c>
      <c r="J13" s="97"/>
      <c r="K13" s="97"/>
      <c r="L13" s="97"/>
      <c r="M13" s="1"/>
      <c r="N13" s="1"/>
    </row>
    <row r="14" ht="19" customHeight="1" spans="1:14" x14ac:dyDescent="0.25">
      <c r="A14" s="1"/>
      <c r="B14" s="94">
        <v>9</v>
      </c>
      <c r="C14" s="53"/>
      <c r="D14" s="56">
        <v>10</v>
      </c>
      <c r="E14" s="72">
        <f>IF(B14="","",SUMIF('Guest List'!$K$6:$K$205,B14,'Guest List'!$Q$6:$Q$205))</f>
      </c>
      <c r="F14" s="72">
        <f>IF(B14="","",D14-E14)</f>
      </c>
      <c r="G14" s="72">
        <f>IF(B14="","",IF(E14=0,"Empty",IF(F14&lt;0,"OVER",IF(F14=0,"Full","Open"))))</f>
      </c>
      <c r="H14" s="1"/>
      <c r="I14" s="95">
        <f>IFERROR(INDEX('Guest List'!$C$6:$C$205,MATCH(SMALL('Guest List'!$P$6:$P$205,9),'Guest List'!$P$6:$P$205,0)),"")</f>
      </c>
      <c r="J14" s="95"/>
      <c r="K14" s="95"/>
      <c r="L14" s="95"/>
      <c r="M14" s="1"/>
      <c r="N14" s="1"/>
    </row>
    <row r="15" ht="19" customHeight="1" spans="1:14" x14ac:dyDescent="0.25">
      <c r="A15" s="1"/>
      <c r="B15" s="96">
        <v>10</v>
      </c>
      <c r="C15" s="53"/>
      <c r="D15" s="56">
        <v>10</v>
      </c>
      <c r="E15" s="74">
        <f>IF(B15="","",SUMIF('Guest List'!$K$6:$K$205,B15,'Guest List'!$Q$6:$Q$205))</f>
      </c>
      <c r="F15" s="74">
        <f>IF(B15="","",D15-E15)</f>
      </c>
      <c r="G15" s="74">
        <f>IF(B15="","",IF(E15=0,"Empty",IF(F15&lt;0,"OVER",IF(F15=0,"Full","Open"))))</f>
      </c>
      <c r="H15" s="1"/>
      <c r="I15" s="97">
        <f>IFERROR(INDEX('Guest List'!$C$6:$C$205,MATCH(SMALL('Guest List'!$P$6:$P$205,10),'Guest List'!$P$6:$P$205,0)),"")</f>
      </c>
      <c r="J15" s="97"/>
      <c r="K15" s="97"/>
      <c r="L15" s="97"/>
      <c r="M15" s="1"/>
      <c r="N15" s="1"/>
    </row>
    <row r="16" ht="19" customHeight="1" spans="1:14" x14ac:dyDescent="0.25">
      <c r="A16" s="1"/>
      <c r="B16" s="94">
        <v>11</v>
      </c>
      <c r="C16" s="53"/>
      <c r="D16" s="56">
        <v>10</v>
      </c>
      <c r="E16" s="72">
        <f>IF(B16="","",SUMIF('Guest List'!$K$6:$K$205,B16,'Guest List'!$Q$6:$Q$205))</f>
      </c>
      <c r="F16" s="72">
        <f>IF(B16="","",D16-E16)</f>
      </c>
      <c r="G16" s="72">
        <f>IF(B16="","",IF(E16=0,"Empty",IF(F16&lt;0,"OVER",IF(F16=0,"Full","Open"))))</f>
      </c>
      <c r="H16" s="1"/>
      <c r="I16" s="95">
        <f>IFERROR(INDEX('Guest List'!$C$6:$C$205,MATCH(SMALL('Guest List'!$P$6:$P$205,11),'Guest List'!$P$6:$P$205,0)),"")</f>
      </c>
      <c r="J16" s="95"/>
      <c r="K16" s="95"/>
      <c r="L16" s="95"/>
      <c r="M16" s="1"/>
      <c r="N16" s="1"/>
    </row>
    <row r="17" ht="19" customHeight="1" spans="1:14" x14ac:dyDescent="0.25">
      <c r="A17" s="1"/>
      <c r="B17" s="96">
        <v>12</v>
      </c>
      <c r="C17" s="53"/>
      <c r="D17" s="56">
        <v>10</v>
      </c>
      <c r="E17" s="74">
        <f>IF(B17="","",SUMIF('Guest List'!$K$6:$K$205,B17,'Guest List'!$Q$6:$Q$205))</f>
      </c>
      <c r="F17" s="74">
        <f>IF(B17="","",D17-E17)</f>
      </c>
      <c r="G17" s="74">
        <f>IF(B17="","",IF(E17=0,"Empty",IF(F17&lt;0,"OVER",IF(F17=0,"Full","Open"))))</f>
      </c>
      <c r="H17" s="1"/>
      <c r="I17" s="97">
        <f>IFERROR(INDEX('Guest List'!$C$6:$C$205,MATCH(SMALL('Guest List'!$P$6:$P$205,12),'Guest List'!$P$6:$P$205,0)),"")</f>
      </c>
      <c r="J17" s="97"/>
      <c r="K17" s="97"/>
      <c r="L17" s="97"/>
      <c r="M17" s="1"/>
      <c r="N17" s="1"/>
    </row>
    <row r="18" ht="19" customHeight="1" spans="1:14" x14ac:dyDescent="0.25">
      <c r="A18" s="1"/>
      <c r="B18" s="94">
        <v>13</v>
      </c>
      <c r="C18" s="53"/>
      <c r="D18" s="56">
        <v>10</v>
      </c>
      <c r="E18" s="72">
        <f>IF(B18="","",SUMIF('Guest List'!$K$6:$K$205,B18,'Guest List'!$Q$6:$Q$205))</f>
      </c>
      <c r="F18" s="72">
        <f>IF(B18="","",D18-E18)</f>
      </c>
      <c r="G18" s="72">
        <f>IF(B18="","",IF(E18=0,"Empty",IF(F18&lt;0,"OVER",IF(F18=0,"Full","Open"))))</f>
      </c>
      <c r="H18" s="1"/>
      <c r="I18" s="95">
        <f>IFERROR(INDEX('Guest List'!$C$6:$C$205,MATCH(SMALL('Guest List'!$P$6:$P$205,13),'Guest List'!$P$6:$P$205,0)),"")</f>
      </c>
      <c r="J18" s="95"/>
      <c r="K18" s="95"/>
      <c r="L18" s="95"/>
      <c r="M18" s="1"/>
      <c r="N18" s="1"/>
    </row>
    <row r="19" ht="19" customHeight="1" spans="1:14" x14ac:dyDescent="0.25">
      <c r="A19" s="1"/>
      <c r="B19" s="96">
        <v>14</v>
      </c>
      <c r="C19" s="53"/>
      <c r="D19" s="56">
        <v>10</v>
      </c>
      <c r="E19" s="74">
        <f>IF(B19="","",SUMIF('Guest List'!$K$6:$K$205,B19,'Guest List'!$Q$6:$Q$205))</f>
      </c>
      <c r="F19" s="74">
        <f>IF(B19="","",D19-E19)</f>
      </c>
      <c r="G19" s="74">
        <f>IF(B19="","",IF(E19=0,"Empty",IF(F19&lt;0,"OVER",IF(F19=0,"Full","Open"))))</f>
      </c>
      <c r="H19" s="1"/>
      <c r="I19" s="97">
        <f>IFERROR(INDEX('Guest List'!$C$6:$C$205,MATCH(SMALL('Guest List'!$P$6:$P$205,14),'Guest List'!$P$6:$P$205,0)),"")</f>
      </c>
      <c r="J19" s="97"/>
      <c r="K19" s="97"/>
      <c r="L19" s="97"/>
      <c r="M19" s="1"/>
      <c r="N19" s="1"/>
    </row>
    <row r="20" ht="19" customHeight="1" spans="1:14" x14ac:dyDescent="0.25">
      <c r="A20" s="1"/>
      <c r="B20" s="94">
        <v>15</v>
      </c>
      <c r="C20" s="53"/>
      <c r="D20" s="56">
        <v>10</v>
      </c>
      <c r="E20" s="72">
        <f>IF(B20="","",SUMIF('Guest List'!$K$6:$K$205,B20,'Guest List'!$Q$6:$Q$205))</f>
      </c>
      <c r="F20" s="72">
        <f>IF(B20="","",D20-E20)</f>
      </c>
      <c r="G20" s="72">
        <f>IF(B20="","",IF(E20=0,"Empty",IF(F20&lt;0,"OVER",IF(F20=0,"Full","Open"))))</f>
      </c>
      <c r="H20" s="1"/>
      <c r="I20" s="95">
        <f>IFERROR(INDEX('Guest List'!$C$6:$C$205,MATCH(SMALL('Guest List'!$P$6:$P$205,15),'Guest List'!$P$6:$P$205,0)),"")</f>
      </c>
      <c r="J20" s="95"/>
      <c r="K20" s="95"/>
      <c r="L20" s="95"/>
      <c r="M20" s="1"/>
      <c r="N20" s="1"/>
    </row>
    <row r="21" ht="19" customHeight="1" spans="1:14" x14ac:dyDescent="0.25">
      <c r="A21" s="1"/>
      <c r="B21" s="96">
        <v>16</v>
      </c>
      <c r="C21" s="53"/>
      <c r="D21" s="56">
        <v>10</v>
      </c>
      <c r="E21" s="74">
        <f>IF(B21="","",SUMIF('Guest List'!$K$6:$K$205,B21,'Guest List'!$Q$6:$Q$205))</f>
      </c>
      <c r="F21" s="74">
        <f>IF(B21="","",D21-E21)</f>
      </c>
      <c r="G21" s="74">
        <f>IF(B21="","",IF(E21=0,"Empty",IF(F21&lt;0,"OVER",IF(F21=0,"Full","Open"))))</f>
      </c>
      <c r="H21" s="1"/>
      <c r="I21" s="97">
        <f>IFERROR(INDEX('Guest List'!$C$6:$C$205,MATCH(SMALL('Guest List'!$P$6:$P$205,16),'Guest List'!$P$6:$P$205,0)),"")</f>
      </c>
      <c r="J21" s="97"/>
      <c r="K21" s="97"/>
      <c r="L21" s="97"/>
      <c r="M21" s="1"/>
      <c r="N21" s="1"/>
    </row>
    <row r="22" ht="19" customHeight="1" spans="1:14" x14ac:dyDescent="0.25">
      <c r="A22" s="1"/>
      <c r="B22" s="94">
        <v>17</v>
      </c>
      <c r="C22" s="53"/>
      <c r="D22" s="56">
        <v>10</v>
      </c>
      <c r="E22" s="72">
        <f>IF(B22="","",SUMIF('Guest List'!$K$6:$K$205,B22,'Guest List'!$Q$6:$Q$205))</f>
      </c>
      <c r="F22" s="72">
        <f>IF(B22="","",D22-E22)</f>
      </c>
      <c r="G22" s="72">
        <f>IF(B22="","",IF(E22=0,"Empty",IF(F22&lt;0,"OVER",IF(F22=0,"Full","Open"))))</f>
      </c>
      <c r="H22" s="1"/>
      <c r="I22" s="95">
        <f>IFERROR(INDEX('Guest List'!$C$6:$C$205,MATCH(SMALL('Guest List'!$P$6:$P$205,17),'Guest List'!$P$6:$P$205,0)),"")</f>
      </c>
      <c r="J22" s="95"/>
      <c r="K22" s="95"/>
      <c r="L22" s="95"/>
      <c r="M22" s="1"/>
      <c r="N22" s="1"/>
    </row>
    <row r="23" ht="19" customHeight="1" spans="1:14" x14ac:dyDescent="0.25">
      <c r="A23" s="1"/>
      <c r="B23" s="96">
        <v>18</v>
      </c>
      <c r="C23" s="53"/>
      <c r="D23" s="56">
        <v>10</v>
      </c>
      <c r="E23" s="74">
        <f>IF(B23="","",SUMIF('Guest List'!$K$6:$K$205,B23,'Guest List'!$Q$6:$Q$205))</f>
      </c>
      <c r="F23" s="74">
        <f>IF(B23="","",D23-E23)</f>
      </c>
      <c r="G23" s="74">
        <f>IF(B23="","",IF(E23=0,"Empty",IF(F23&lt;0,"OVER",IF(F23=0,"Full","Open"))))</f>
      </c>
      <c r="H23" s="1"/>
      <c r="I23" s="97">
        <f>IFERROR(INDEX('Guest List'!$C$6:$C$205,MATCH(SMALL('Guest List'!$P$6:$P$205,18),'Guest List'!$P$6:$P$205,0)),"")</f>
      </c>
      <c r="J23" s="97"/>
      <c r="K23" s="97"/>
      <c r="L23" s="97"/>
      <c r="M23" s="1"/>
      <c r="N23" s="1"/>
    </row>
    <row r="24" ht="19" customHeight="1" spans="1:14" x14ac:dyDescent="0.25">
      <c r="A24" s="1"/>
      <c r="B24" s="94">
        <v>19</v>
      </c>
      <c r="C24" s="53"/>
      <c r="D24" s="56">
        <v>10</v>
      </c>
      <c r="E24" s="72">
        <f>IF(B24="","",SUMIF('Guest List'!$K$6:$K$205,B24,'Guest List'!$Q$6:$Q$205))</f>
      </c>
      <c r="F24" s="72">
        <f>IF(B24="","",D24-E24)</f>
      </c>
      <c r="G24" s="72">
        <f>IF(B24="","",IF(E24=0,"Empty",IF(F24&lt;0,"OVER",IF(F24=0,"Full","Open"))))</f>
      </c>
      <c r="H24" s="1"/>
      <c r="I24" s="95">
        <f>IFERROR(INDEX('Guest List'!$C$6:$C$205,MATCH(SMALL('Guest List'!$P$6:$P$205,19),'Guest List'!$P$6:$P$205,0)),"")</f>
      </c>
      <c r="J24" s="95"/>
      <c r="K24" s="95"/>
      <c r="L24" s="95"/>
      <c r="M24" s="1"/>
      <c r="N24" s="1"/>
    </row>
    <row r="25" ht="19" customHeight="1" spans="1:14" x14ac:dyDescent="0.25">
      <c r="A25" s="1"/>
      <c r="B25" s="96">
        <v>20</v>
      </c>
      <c r="C25" s="53"/>
      <c r="D25" s="56">
        <v>10</v>
      </c>
      <c r="E25" s="74">
        <f>IF(B25="","",SUMIF('Guest List'!$K$6:$K$205,B25,'Guest List'!$Q$6:$Q$205))</f>
      </c>
      <c r="F25" s="74">
        <f>IF(B25="","",D25-E25)</f>
      </c>
      <c r="G25" s="74">
        <f>IF(B25="","",IF(E25=0,"Empty",IF(F25&lt;0,"OVER",IF(F25=0,"Full","Open"))))</f>
      </c>
      <c r="H25" s="1"/>
      <c r="I25" s="97">
        <f>IFERROR(INDEX('Guest List'!$C$6:$C$205,MATCH(SMALL('Guest List'!$P$6:$P$205,20),'Guest List'!$P$6:$P$205,0)),"")</f>
      </c>
      <c r="J25" s="97"/>
      <c r="K25" s="97"/>
      <c r="L25" s="97"/>
      <c r="M25" s="1"/>
      <c r="N25" s="1"/>
    </row>
    <row r="26" ht="24" customHeight="1" spans="1:14" x14ac:dyDescent="0.25">
      <c r="A26" s="1"/>
      <c r="B26" s="62" t="s">
        <v>292</v>
      </c>
      <c r="C26" s="63"/>
      <c r="D26" s="64">
        <f>SUM(D6:D25)</f>
      </c>
      <c r="E26" s="64">
        <f>SUM(E6:E25)</f>
      </c>
      <c r="F26" s="64">
        <f>SUM(F6:F25)</f>
      </c>
      <c r="G26" s="63"/>
      <c r="H26" s="1"/>
      <c r="I26" s="1"/>
      <c r="J26" s="1"/>
      <c r="K26" s="1"/>
      <c r="L26" s="1"/>
      <c r="M26" s="1"/>
      <c r="N26" s="1"/>
    </row>
    <row r="27" spans="1:14" x14ac:dyDescent="0.25">
      <c r="A27" s="1"/>
      <c r="B27" s="1"/>
      <c r="C27" s="1"/>
      <c r="D27" s="1"/>
      <c r="E27" s="1"/>
      <c r="F27" s="1"/>
      <c r="G27" s="1"/>
      <c r="H27" s="1"/>
      <c r="I27" s="1"/>
      <c r="J27" s="1"/>
      <c r="K27" s="1"/>
      <c r="L27" s="1"/>
      <c r="M27" s="1"/>
      <c r="N27" s="1"/>
    </row>
    <row r="28" ht="18" customHeight="1" spans="1:14" x14ac:dyDescent="0.25">
      <c r="A28" s="1"/>
      <c r="B28" s="48" t="s">
        <v>293</v>
      </c>
      <c r="C28" s="48"/>
      <c r="D28" s="48"/>
      <c r="E28" s="48"/>
      <c r="F28" s="48"/>
      <c r="G28" s="48"/>
      <c r="H28" s="48"/>
      <c r="I28" s="48"/>
      <c r="J28" s="48"/>
      <c r="K28" s="48"/>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row r="41" spans="1:14" x14ac:dyDescent="0.25">
      <c r="A41" s="1"/>
      <c r="B41" s="1"/>
      <c r="C41" s="1"/>
      <c r="D41" s="1"/>
      <c r="E41" s="1"/>
      <c r="F41" s="1"/>
      <c r="G41" s="1"/>
      <c r="H41" s="1"/>
      <c r="I41" s="1"/>
      <c r="J41" s="1"/>
      <c r="K41" s="1"/>
      <c r="L41" s="1"/>
      <c r="M41" s="1"/>
      <c r="N41" s="1"/>
    </row>
    <row r="42" spans="1:14" x14ac:dyDescent="0.25">
      <c r="A42" s="1"/>
      <c r="B42" s="1"/>
      <c r="C42" s="1"/>
      <c r="D42" s="1"/>
      <c r="E42" s="1"/>
      <c r="F42" s="1"/>
      <c r="G42" s="1"/>
      <c r="H42" s="1"/>
      <c r="I42" s="1"/>
      <c r="J42" s="1"/>
      <c r="K42" s="1"/>
      <c r="L42" s="1"/>
      <c r="M42" s="1"/>
      <c r="N42" s="1"/>
    </row>
    <row r="43" spans="1:14" x14ac:dyDescent="0.25">
      <c r="A43" s="1"/>
      <c r="B43" s="1"/>
      <c r="C43" s="1"/>
      <c r="D43" s="1"/>
      <c r="E43" s="1"/>
      <c r="F43" s="1"/>
      <c r="G43" s="1"/>
      <c r="H43" s="1"/>
      <c r="I43" s="1"/>
      <c r="J43" s="1"/>
      <c r="K43" s="1"/>
      <c r="L43" s="1"/>
      <c r="M43" s="1"/>
      <c r="N43" s="1"/>
    </row>
    <row r="44" spans="1:14" x14ac:dyDescent="0.25">
      <c r="A44" s="1"/>
      <c r="B44" s="1"/>
      <c r="C44" s="1"/>
      <c r="D44" s="1"/>
      <c r="E44" s="1"/>
      <c r="F44" s="1"/>
      <c r="G44" s="1"/>
      <c r="H44" s="1"/>
      <c r="I44" s="1"/>
      <c r="J44" s="1"/>
      <c r="K44" s="1"/>
      <c r="L44" s="1"/>
      <c r="M44" s="1"/>
      <c r="N44" s="1"/>
    </row>
    <row r="45" spans="1:14" x14ac:dyDescent="0.25">
      <c r="A45" s="1"/>
      <c r="B45" s="1"/>
      <c r="C45" s="1"/>
      <c r="D45" s="1"/>
      <c r="E45" s="1"/>
      <c r="F45" s="1"/>
      <c r="G45" s="1"/>
      <c r="H45" s="1"/>
      <c r="I45" s="1"/>
      <c r="J45" s="1"/>
      <c r="K45" s="1"/>
      <c r="L45" s="1"/>
      <c r="M45" s="1"/>
      <c r="N45" s="1"/>
    </row>
  </sheetData>
  <mergeCells count="24">
    <mergeCell ref="B2:M2"/>
    <mergeCell ref="B3:M3"/>
    <mergeCell ref="I5:L5"/>
    <mergeCell ref="I6:L6"/>
    <mergeCell ref="I7:L7"/>
    <mergeCell ref="I8:L8"/>
    <mergeCell ref="I9:L9"/>
    <mergeCell ref="I10:L10"/>
    <mergeCell ref="I11:L11"/>
    <mergeCell ref="I12:L12"/>
    <mergeCell ref="I13:L13"/>
    <mergeCell ref="I14:L14"/>
    <mergeCell ref="I15:L15"/>
    <mergeCell ref="I16:L16"/>
    <mergeCell ref="I17:L17"/>
    <mergeCell ref="I18:L18"/>
    <mergeCell ref="I19:L19"/>
    <mergeCell ref="I20:L20"/>
    <mergeCell ref="I21:L21"/>
    <mergeCell ref="I22:L22"/>
    <mergeCell ref="I23:L23"/>
    <mergeCell ref="I24:L24"/>
    <mergeCell ref="I25:L25"/>
    <mergeCell ref="B28:K28"/>
  </mergeCells>
  <conditionalFormatting sqref="G6:G25">
    <cfRule type="expression" dxfId="18" priority="1">
      <formula>G6="OVER"</formula>
    </cfRule>
  </conditionalFormatting>
  <conditionalFormatting sqref="G6:G25">
    <cfRule type="expression" dxfId="19" priority="1">
      <formula>G6="Full"</formula>
    </cfRule>
  </conditionalFormatting>
  <conditionalFormatting sqref="G6:G25">
    <cfRule type="expression" dxfId="20" priority="1">
      <formula>G6="Open"</formula>
    </cfRule>
  </conditionalFormatting>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L85"/>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14" customWidth="1"/>
    <col min="3" max="3" width="42" customWidth="1"/>
    <col min="4" max="5" width="12" customWidth="1"/>
    <col min="6" max="6" width="13" customWidth="1"/>
    <col min="7" max="7" width="11" customWidth="1"/>
    <col min="9" max="9" width="11" customWidth="1"/>
    <col min="10" max="10" width="9" hidden="1" customWidth="1"/>
  </cols>
  <sheetData>
    <row r="1" ht="14" customHeight="1" spans="1:12" x14ac:dyDescent="0.25">
      <c r="A1" s="1"/>
      <c r="B1" s="1"/>
      <c r="C1" s="1"/>
      <c r="D1" s="1"/>
      <c r="E1" s="1"/>
      <c r="F1" s="1"/>
      <c r="G1" s="1"/>
      <c r="H1" s="1"/>
      <c r="I1" s="1"/>
      <c r="J1" s="1"/>
      <c r="K1" s="1"/>
      <c r="L1" s="1"/>
    </row>
    <row r="2" ht="38" customHeight="1" spans="1:12" x14ac:dyDescent="0.25">
      <c r="A2" s="1"/>
      <c r="B2" s="34" t="s">
        <v>319</v>
      </c>
      <c r="C2" s="34"/>
      <c r="D2" s="34"/>
      <c r="E2" s="34"/>
      <c r="F2" s="34"/>
      <c r="G2" s="34"/>
      <c r="H2" s="34"/>
      <c r="I2" s="34"/>
      <c r="J2" s="34"/>
      <c r="K2" s="1"/>
      <c r="L2" s="1"/>
    </row>
    <row r="3" ht="18" customHeight="1" spans="1:12" x14ac:dyDescent="0.25">
      <c r="A3" s="1"/>
      <c r="B3" s="35" t="s">
        <v>320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321</v>
      </c>
      <c r="C5" s="49" t="s">
        <v>322</v>
      </c>
      <c r="D5" s="49" t="s">
        <v>323</v>
      </c>
      <c r="E5" s="51" t="s">
        <v>324</v>
      </c>
      <c r="F5" s="51" t="s">
        <v>165</v>
      </c>
      <c r="G5" s="51" t="s">
        <v>325</v>
      </c>
      <c r="H5" s="51" t="s">
        <v>326</v>
      </c>
      <c r="I5" s="51" t="s">
        <v>327</v>
      </c>
      <c r="J5" s="1"/>
      <c r="K5" s="1"/>
      <c r="L5" s="1"/>
    </row>
    <row r="6" ht="19" customHeight="1" spans="1:12" x14ac:dyDescent="0.25">
      <c r="A6" s="1"/>
      <c r="B6" s="52" t="s">
        <v>328</v>
      </c>
      <c r="C6" s="53" t="s">
        <v>329</v>
      </c>
      <c r="D6" s="53" t="s">
        <v>330</v>
      </c>
      <c r="E6" s="56">
        <v>365</v>
      </c>
      <c r="F6" s="98">
        <f>IF(C6="","",INT(Setup!$C$7)-E6)</f>
      </c>
      <c r="G6" s="56" t="s">
        <v>331</v>
      </c>
      <c r="H6" s="56" t="s">
        <v>96</v>
      </c>
      <c r="I6" s="72">
        <f>IF(OR(C6="",H6="Yes"),"",F6-TODAY())</f>
      </c>
      <c r="J6" s="1">
        <f>IF(AND(C6&lt;&gt;"",H6&lt;&gt;"Yes"),F6+ROW()/100000,"")</f>
      </c>
      <c r="K6" s="1"/>
      <c r="L6" s="1"/>
    </row>
    <row r="7" ht="19" customHeight="1" spans="1:12" x14ac:dyDescent="0.25">
      <c r="A7" s="1"/>
      <c r="B7" s="52" t="s">
        <v>328</v>
      </c>
      <c r="C7" s="53" t="s">
        <v>332</v>
      </c>
      <c r="D7" s="53" t="s">
        <v>330</v>
      </c>
      <c r="E7" s="56">
        <v>360</v>
      </c>
      <c r="F7" s="99">
        <f>IF(C7="","",INT(Setup!$C$7)-E7)</f>
      </c>
      <c r="G7" s="56" t="s">
        <v>331</v>
      </c>
      <c r="H7" s="56" t="s">
        <v>96</v>
      </c>
      <c r="I7" s="74">
        <f>IF(OR(C7="",H7="Yes"),"",F7-TODAY())</f>
      </c>
      <c r="J7" s="1">
        <f>IF(AND(C7&lt;&gt;"",H7&lt;&gt;"Yes"),F7+ROW()/100000,"")</f>
      </c>
      <c r="K7" s="1"/>
      <c r="L7" s="1"/>
    </row>
    <row r="8" ht="19" customHeight="1" spans="1:12" x14ac:dyDescent="0.25">
      <c r="A8" s="1"/>
      <c r="B8" s="52" t="s">
        <v>328</v>
      </c>
      <c r="C8" s="53" t="s">
        <v>333</v>
      </c>
      <c r="D8" s="53" t="s">
        <v>330</v>
      </c>
      <c r="E8" s="56">
        <v>355</v>
      </c>
      <c r="F8" s="98">
        <f>IF(C8="","",INT(Setup!$C$7)-E8)</f>
      </c>
      <c r="G8" s="56" t="s">
        <v>331</v>
      </c>
      <c r="H8" s="56" t="s">
        <v>96</v>
      </c>
      <c r="I8" s="72">
        <f>IF(OR(C8="",H8="Yes"),"",F8-TODAY())</f>
      </c>
      <c r="J8" s="1">
        <f>IF(AND(C8&lt;&gt;"",H8&lt;&gt;"Yes"),F8+ROW()/100000,"")</f>
      </c>
      <c r="K8" s="1"/>
      <c r="L8" s="1"/>
    </row>
    <row r="9" ht="19" customHeight="1" spans="1:12" x14ac:dyDescent="0.25">
      <c r="A9" s="1"/>
      <c r="B9" s="52" t="s">
        <v>328</v>
      </c>
      <c r="C9" s="53" t="s">
        <v>334</v>
      </c>
      <c r="D9" s="53" t="s">
        <v>330</v>
      </c>
      <c r="E9" s="56">
        <v>340</v>
      </c>
      <c r="F9" s="99">
        <f>IF(C9="","",INT(Setup!$C$7)-E9)</f>
      </c>
      <c r="G9" s="56" t="s">
        <v>331</v>
      </c>
      <c r="H9" s="56" t="s">
        <v>96</v>
      </c>
      <c r="I9" s="74">
        <f>IF(OR(C9="",H9="Yes"),"",F9-TODAY())</f>
      </c>
      <c r="J9" s="1">
        <f>IF(AND(C9&lt;&gt;"",H9&lt;&gt;"Yes"),F9+ROW()/100000,"")</f>
      </c>
      <c r="K9" s="1"/>
      <c r="L9" s="1"/>
    </row>
    <row r="10" ht="19" customHeight="1" spans="1:12" x14ac:dyDescent="0.25">
      <c r="A10" s="1"/>
      <c r="B10" s="52" t="s">
        <v>328</v>
      </c>
      <c r="C10" s="53" t="s">
        <v>335</v>
      </c>
      <c r="D10" s="53" t="s">
        <v>46</v>
      </c>
      <c r="E10" s="56">
        <v>330</v>
      </c>
      <c r="F10" s="98">
        <f>IF(C10="","",INT(Setup!$C$7)-E10)</f>
      </c>
      <c r="G10" s="56" t="s">
        <v>331</v>
      </c>
      <c r="H10" s="56" t="s">
        <v>96</v>
      </c>
      <c r="I10" s="72">
        <f>IF(OR(C10="",H10="Yes"),"",F10-TODAY())</f>
      </c>
      <c r="J10" s="1">
        <f>IF(AND(C10&lt;&gt;"",H10&lt;&gt;"Yes"),F10+ROW()/100000,"")</f>
      </c>
      <c r="K10" s="1"/>
      <c r="L10" s="1"/>
    </row>
    <row r="11" ht="19" customHeight="1" spans="1:12" x14ac:dyDescent="0.25">
      <c r="A11" s="1"/>
      <c r="B11" s="52" t="s">
        <v>328</v>
      </c>
      <c r="C11" s="53" t="s">
        <v>336</v>
      </c>
      <c r="D11" s="53" t="s">
        <v>49</v>
      </c>
      <c r="E11" s="56">
        <v>320</v>
      </c>
      <c r="F11" s="99">
        <f>IF(C11="","",INT(Setup!$C$7)-E11)</f>
      </c>
      <c r="G11" s="56" t="s">
        <v>331</v>
      </c>
      <c r="H11" s="56" t="s">
        <v>96</v>
      </c>
      <c r="I11" s="74">
        <f>IF(OR(C11="",H11="Yes"),"",F11-TODAY())</f>
      </c>
      <c r="J11" s="1">
        <f>IF(AND(C11&lt;&gt;"",H11&lt;&gt;"Yes"),F11+ROW()/100000,"")</f>
      </c>
      <c r="K11" s="1"/>
      <c r="L11" s="1"/>
    </row>
    <row r="12" ht="19" customHeight="1" spans="1:12" x14ac:dyDescent="0.25">
      <c r="A12" s="1"/>
      <c r="B12" s="52" t="s">
        <v>337</v>
      </c>
      <c r="C12" s="53" t="s">
        <v>338</v>
      </c>
      <c r="D12" s="53" t="s">
        <v>330</v>
      </c>
      <c r="E12" s="56">
        <v>300</v>
      </c>
      <c r="F12" s="98">
        <f>IF(C12="","",INT(Setup!$C$7)-E12)</f>
      </c>
      <c r="G12" s="56" t="s">
        <v>339</v>
      </c>
      <c r="H12" s="56" t="s">
        <v>96</v>
      </c>
      <c r="I12" s="72">
        <f>IF(OR(C12="",H12="Yes"),"",F12-TODAY())</f>
      </c>
      <c r="J12" s="1">
        <f>IF(AND(C12&lt;&gt;"",H12&lt;&gt;"Yes"),F12+ROW()/100000,"")</f>
      </c>
      <c r="K12" s="1"/>
      <c r="L12" s="1"/>
    </row>
    <row r="13" ht="19" customHeight="1" spans="1:12" x14ac:dyDescent="0.25">
      <c r="A13" s="1"/>
      <c r="B13" s="52" t="s">
        <v>337</v>
      </c>
      <c r="C13" s="53" t="s">
        <v>340</v>
      </c>
      <c r="D13" s="53" t="s">
        <v>49</v>
      </c>
      <c r="E13" s="56">
        <v>290</v>
      </c>
      <c r="F13" s="99">
        <f>IF(C13="","",INT(Setup!$C$7)-E13)</f>
      </c>
      <c r="G13" s="56" t="s">
        <v>331</v>
      </c>
      <c r="H13" s="56" t="s">
        <v>96</v>
      </c>
      <c r="I13" s="74">
        <f>IF(OR(C13="",H13="Yes"),"",F13-TODAY())</f>
      </c>
      <c r="J13" s="1">
        <f>IF(AND(C13&lt;&gt;"",H13&lt;&gt;"Yes"),F13+ROW()/100000,"")</f>
      </c>
      <c r="K13" s="1"/>
      <c r="L13" s="1"/>
    </row>
    <row r="14" ht="19" customHeight="1" spans="1:12" x14ac:dyDescent="0.25">
      <c r="A14" s="1"/>
      <c r="B14" s="52" t="s">
        <v>337</v>
      </c>
      <c r="C14" s="53" t="s">
        <v>341</v>
      </c>
      <c r="D14" s="53" t="s">
        <v>330</v>
      </c>
      <c r="E14" s="56">
        <v>285</v>
      </c>
      <c r="F14" s="98">
        <f>IF(C14="","",INT(Setup!$C$7)-E14)</f>
      </c>
      <c r="G14" s="56" t="s">
        <v>331</v>
      </c>
      <c r="H14" s="56" t="s">
        <v>96</v>
      </c>
      <c r="I14" s="72">
        <f>IF(OR(C14="",H14="Yes"),"",F14-TODAY())</f>
      </c>
      <c r="J14" s="1">
        <f>IF(AND(C14&lt;&gt;"",H14&lt;&gt;"Yes"),F14+ROW()/100000,"")</f>
      </c>
      <c r="K14" s="1"/>
      <c r="L14" s="1"/>
    </row>
    <row r="15" ht="19" customHeight="1" spans="1:12" x14ac:dyDescent="0.25">
      <c r="A15" s="1"/>
      <c r="B15" s="52" t="s">
        <v>337</v>
      </c>
      <c r="C15" s="53" t="s">
        <v>342</v>
      </c>
      <c r="D15" s="53" t="s">
        <v>46</v>
      </c>
      <c r="E15" s="56">
        <v>280</v>
      </c>
      <c r="F15" s="99">
        <f>IF(C15="","",INT(Setup!$C$7)-E15)</f>
      </c>
      <c r="G15" s="56" t="s">
        <v>339</v>
      </c>
      <c r="H15" s="56" t="s">
        <v>96</v>
      </c>
      <c r="I15" s="74">
        <f>IF(OR(C15="",H15="Yes"),"",F15-TODAY())</f>
      </c>
      <c r="J15" s="1">
        <f>IF(AND(C15&lt;&gt;"",H15&lt;&gt;"Yes"),F15+ROW()/100000,"")</f>
      </c>
      <c r="K15" s="1"/>
      <c r="L15" s="1"/>
    </row>
    <row r="16" ht="19" customHeight="1" spans="1:12" x14ac:dyDescent="0.25">
      <c r="A16" s="1"/>
      <c r="B16" s="52" t="s">
        <v>337</v>
      </c>
      <c r="C16" s="53" t="s">
        <v>343</v>
      </c>
      <c r="D16" s="53" t="s">
        <v>46</v>
      </c>
      <c r="E16" s="56">
        <v>270</v>
      </c>
      <c r="F16" s="98">
        <f>IF(C16="","",INT(Setup!$C$7)-E16)</f>
      </c>
      <c r="G16" s="56" t="s">
        <v>339</v>
      </c>
      <c r="H16" s="56" t="s">
        <v>96</v>
      </c>
      <c r="I16" s="72">
        <f>IF(OR(C16="",H16="Yes"),"",F16-TODAY())</f>
      </c>
      <c r="J16" s="1">
        <f>IF(AND(C16&lt;&gt;"",H16&lt;&gt;"Yes"),F16+ROW()/100000,"")</f>
      </c>
      <c r="K16" s="1"/>
      <c r="L16" s="1"/>
    </row>
    <row r="17" ht="19" customHeight="1" spans="1:12" x14ac:dyDescent="0.25">
      <c r="A17" s="1"/>
      <c r="B17" s="52" t="s">
        <v>337</v>
      </c>
      <c r="C17" s="53" t="s">
        <v>344</v>
      </c>
      <c r="D17" s="53" t="s">
        <v>49</v>
      </c>
      <c r="E17" s="56">
        <v>260</v>
      </c>
      <c r="F17" s="99">
        <f>IF(C17="","",INT(Setup!$C$7)-E17)</f>
      </c>
      <c r="G17" s="56" t="s">
        <v>345</v>
      </c>
      <c r="H17" s="56" t="s">
        <v>96</v>
      </c>
      <c r="I17" s="74">
        <f>IF(OR(C17="",H17="Yes"),"",F17-TODAY())</f>
      </c>
      <c r="J17" s="1">
        <f>IF(AND(C17&lt;&gt;"",H17&lt;&gt;"Yes"),F17+ROW()/100000,"")</f>
      </c>
      <c r="K17" s="1"/>
      <c r="L17" s="1"/>
    </row>
    <row r="18" ht="19" customHeight="1" spans="1:12" x14ac:dyDescent="0.25">
      <c r="A18" s="1"/>
      <c r="B18" s="52" t="s">
        <v>346</v>
      </c>
      <c r="C18" s="53" t="s">
        <v>347</v>
      </c>
      <c r="D18" s="53" t="s">
        <v>330</v>
      </c>
      <c r="E18" s="56">
        <v>240</v>
      </c>
      <c r="F18" s="98">
        <f>IF(C18="","",INT(Setup!$C$7)-E18)</f>
      </c>
      <c r="G18" s="56" t="s">
        <v>331</v>
      </c>
      <c r="H18" s="56"/>
      <c r="I18" s="72">
        <f>IF(OR(C18="",H18="Yes"),"",F18-TODAY())</f>
      </c>
      <c r="J18" s="1">
        <f>IF(AND(C18&lt;&gt;"",H18&lt;&gt;"Yes"),F18+ROW()/100000,"")</f>
      </c>
      <c r="K18" s="1"/>
      <c r="L18" s="1"/>
    </row>
    <row r="19" ht="19" customHeight="1" spans="1:12" x14ac:dyDescent="0.25">
      <c r="A19" s="1"/>
      <c r="B19" s="52" t="s">
        <v>346</v>
      </c>
      <c r="C19" s="53" t="s">
        <v>348</v>
      </c>
      <c r="D19" s="53" t="s">
        <v>46</v>
      </c>
      <c r="E19" s="56">
        <v>230</v>
      </c>
      <c r="F19" s="99">
        <f>IF(C19="","",INT(Setup!$C$7)-E19)</f>
      </c>
      <c r="G19" s="56" t="s">
        <v>331</v>
      </c>
      <c r="H19" s="56"/>
      <c r="I19" s="74">
        <f>IF(OR(C19="",H19="Yes"),"",F19-TODAY())</f>
      </c>
      <c r="J19" s="1">
        <f>IF(AND(C19&lt;&gt;"",H19&lt;&gt;"Yes"),F19+ROW()/100000,"")</f>
      </c>
      <c r="K19" s="1"/>
      <c r="L19" s="1"/>
    </row>
    <row r="20" ht="19" customHeight="1" spans="1:12" x14ac:dyDescent="0.25">
      <c r="A20" s="1"/>
      <c r="B20" s="52" t="s">
        <v>346</v>
      </c>
      <c r="C20" s="53" t="s">
        <v>349</v>
      </c>
      <c r="D20" s="53" t="s">
        <v>49</v>
      </c>
      <c r="E20" s="56">
        <v>210</v>
      </c>
      <c r="F20" s="98">
        <f>IF(C20="","",INT(Setup!$C$7)-E20)</f>
      </c>
      <c r="G20" s="56" t="s">
        <v>339</v>
      </c>
      <c r="H20" s="56"/>
      <c r="I20" s="72">
        <f>IF(OR(C20="",H20="Yes"),"",F20-TODAY())</f>
      </c>
      <c r="J20" s="1">
        <f>IF(AND(C20&lt;&gt;"",H20&lt;&gt;"Yes"),F20+ROW()/100000,"")</f>
      </c>
      <c r="K20" s="1"/>
      <c r="L20" s="1"/>
    </row>
    <row r="21" ht="19" customHeight="1" spans="1:12" x14ac:dyDescent="0.25">
      <c r="A21" s="1"/>
      <c r="B21" s="52" t="s">
        <v>346</v>
      </c>
      <c r="C21" s="53" t="s">
        <v>350</v>
      </c>
      <c r="D21" s="53" t="s">
        <v>330</v>
      </c>
      <c r="E21" s="56">
        <v>200</v>
      </c>
      <c r="F21" s="99">
        <f>IF(C21="","",INT(Setup!$C$7)-E21)</f>
      </c>
      <c r="G21" s="56" t="s">
        <v>339</v>
      </c>
      <c r="H21" s="56"/>
      <c r="I21" s="74">
        <f>IF(OR(C21="",H21="Yes"),"",F21-TODAY())</f>
      </c>
      <c r="J21" s="1">
        <f>IF(AND(C21&lt;&gt;"",H21&lt;&gt;"Yes"),F21+ROW()/100000,"")</f>
      </c>
      <c r="K21" s="1"/>
      <c r="L21" s="1"/>
    </row>
    <row r="22" ht="19" customHeight="1" spans="1:12" x14ac:dyDescent="0.25">
      <c r="A22" s="1"/>
      <c r="B22" s="52" t="s">
        <v>346</v>
      </c>
      <c r="C22" s="53" t="s">
        <v>351</v>
      </c>
      <c r="D22" s="53" t="s">
        <v>330</v>
      </c>
      <c r="E22" s="56">
        <v>195</v>
      </c>
      <c r="F22" s="98">
        <f>IF(C22="","",INT(Setup!$C$7)-E22)</f>
      </c>
      <c r="G22" s="56" t="s">
        <v>345</v>
      </c>
      <c r="H22" s="56"/>
      <c r="I22" s="72">
        <f>IF(OR(C22="",H22="Yes"),"",F22-TODAY())</f>
      </c>
      <c r="J22" s="1">
        <f>IF(AND(C22&lt;&gt;"",H22&lt;&gt;"Yes"),F22+ROW()/100000,"")</f>
      </c>
      <c r="K22" s="1"/>
      <c r="L22" s="1"/>
    </row>
    <row r="23" ht="19" customHeight="1" spans="1:12" x14ac:dyDescent="0.25">
      <c r="A23" s="1"/>
      <c r="B23" s="52" t="s">
        <v>346</v>
      </c>
      <c r="C23" s="53" t="s">
        <v>352</v>
      </c>
      <c r="D23" s="53" t="s">
        <v>330</v>
      </c>
      <c r="E23" s="56">
        <v>190</v>
      </c>
      <c r="F23" s="99">
        <f>IF(C23="","",INT(Setup!$C$7)-E23)</f>
      </c>
      <c r="G23" s="56" t="s">
        <v>339</v>
      </c>
      <c r="H23" s="56"/>
      <c r="I23" s="74">
        <f>IF(OR(C23="",H23="Yes"),"",F23-TODAY())</f>
      </c>
      <c r="J23" s="1">
        <f>IF(AND(C23&lt;&gt;"",H23&lt;&gt;"Yes"),F23+ROW()/100000,"")</f>
      </c>
      <c r="K23" s="1"/>
      <c r="L23" s="1"/>
    </row>
    <row r="24" ht="19" customHeight="1" spans="1:12" x14ac:dyDescent="0.25">
      <c r="A24" s="1"/>
      <c r="B24" s="52" t="s">
        <v>353</v>
      </c>
      <c r="C24" s="53" t="s">
        <v>354</v>
      </c>
      <c r="D24" s="53" t="s">
        <v>46</v>
      </c>
      <c r="E24" s="56">
        <v>150</v>
      </c>
      <c r="F24" s="98">
        <f>IF(C24="","",INT(Setup!$C$7)-E24)</f>
      </c>
      <c r="G24" s="56" t="s">
        <v>331</v>
      </c>
      <c r="H24" s="56"/>
      <c r="I24" s="72">
        <f>IF(OR(C24="",H24="Yes"),"",F24-TODAY())</f>
      </c>
      <c r="J24" s="1">
        <f>IF(AND(C24&lt;&gt;"",H24&lt;&gt;"Yes"),F24+ROW()/100000,"")</f>
      </c>
      <c r="K24" s="1"/>
      <c r="L24" s="1"/>
    </row>
    <row r="25" ht="19" customHeight="1" spans="1:12" x14ac:dyDescent="0.25">
      <c r="A25" s="1"/>
      <c r="B25" s="52" t="s">
        <v>353</v>
      </c>
      <c r="C25" s="53" t="s">
        <v>355</v>
      </c>
      <c r="D25" s="53" t="s">
        <v>330</v>
      </c>
      <c r="E25" s="56">
        <v>140</v>
      </c>
      <c r="F25" s="99">
        <f>IF(C25="","",INT(Setup!$C$7)-E25)</f>
      </c>
      <c r="G25" s="56" t="s">
        <v>339</v>
      </c>
      <c r="H25" s="56"/>
      <c r="I25" s="74">
        <f>IF(OR(C25="",H25="Yes"),"",F25-TODAY())</f>
      </c>
      <c r="J25" s="1">
        <f>IF(AND(C25&lt;&gt;"",H25&lt;&gt;"Yes"),F25+ROW()/100000,"")</f>
      </c>
      <c r="K25" s="1"/>
      <c r="L25" s="1"/>
    </row>
    <row r="26" ht="19" customHeight="1" spans="1:12" x14ac:dyDescent="0.25">
      <c r="A26" s="1"/>
      <c r="B26" s="52" t="s">
        <v>353</v>
      </c>
      <c r="C26" s="53" t="s">
        <v>356</v>
      </c>
      <c r="D26" s="53" t="s">
        <v>46</v>
      </c>
      <c r="E26" s="56">
        <v>130</v>
      </c>
      <c r="F26" s="98">
        <f>IF(C26="","",INT(Setup!$C$7)-E26)</f>
      </c>
      <c r="G26" s="56" t="s">
        <v>339</v>
      </c>
      <c r="H26" s="56"/>
      <c r="I26" s="72">
        <f>IF(OR(C26="",H26="Yes"),"",F26-TODAY())</f>
      </c>
      <c r="J26" s="1">
        <f>IF(AND(C26&lt;&gt;"",H26&lt;&gt;"Yes"),F26+ROW()/100000,"")</f>
      </c>
      <c r="K26" s="1"/>
      <c r="L26" s="1"/>
    </row>
    <row r="27" ht="19" customHeight="1" spans="1:12" x14ac:dyDescent="0.25">
      <c r="A27" s="1"/>
      <c r="B27" s="52" t="s">
        <v>353</v>
      </c>
      <c r="C27" s="53" t="s">
        <v>357</v>
      </c>
      <c r="D27" s="53" t="s">
        <v>330</v>
      </c>
      <c r="E27" s="56">
        <v>120</v>
      </c>
      <c r="F27" s="99">
        <f>IF(C27="","",INT(Setup!$C$7)-E27)</f>
      </c>
      <c r="G27" s="56" t="s">
        <v>331</v>
      </c>
      <c r="H27" s="56"/>
      <c r="I27" s="74">
        <f>IF(OR(C27="",H27="Yes"),"",F27-TODAY())</f>
      </c>
      <c r="J27" s="1">
        <f>IF(AND(C27&lt;&gt;"",H27&lt;&gt;"Yes"),F27+ROW()/100000,"")</f>
      </c>
      <c r="K27" s="1"/>
      <c r="L27" s="1"/>
    </row>
    <row r="28" ht="19" customHeight="1" spans="1:12" x14ac:dyDescent="0.25">
      <c r="A28" s="1"/>
      <c r="B28" s="52" t="s">
        <v>353</v>
      </c>
      <c r="C28" s="53" t="s">
        <v>358</v>
      </c>
      <c r="D28" s="53" t="s">
        <v>330</v>
      </c>
      <c r="E28" s="56">
        <v>110</v>
      </c>
      <c r="F28" s="98">
        <f>IF(C28="","",INT(Setup!$C$7)-E28)</f>
      </c>
      <c r="G28" s="56" t="s">
        <v>331</v>
      </c>
      <c r="H28" s="56"/>
      <c r="I28" s="72">
        <f>IF(OR(C28="",H28="Yes"),"",F28-TODAY())</f>
      </c>
      <c r="J28" s="1">
        <f>IF(AND(C28&lt;&gt;"",H28&lt;&gt;"Yes"),F28+ROW()/100000,"")</f>
      </c>
      <c r="K28" s="1"/>
      <c r="L28" s="1"/>
    </row>
    <row r="29" ht="19" customHeight="1" spans="1:12" x14ac:dyDescent="0.25">
      <c r="A29" s="1"/>
      <c r="B29" s="52" t="s">
        <v>353</v>
      </c>
      <c r="C29" s="53" t="s">
        <v>359</v>
      </c>
      <c r="D29" s="53" t="s">
        <v>49</v>
      </c>
      <c r="E29" s="56">
        <v>100</v>
      </c>
      <c r="F29" s="99">
        <f>IF(C29="","",INT(Setup!$C$7)-E29)</f>
      </c>
      <c r="G29" s="56" t="s">
        <v>345</v>
      </c>
      <c r="H29" s="56"/>
      <c r="I29" s="74">
        <f>IF(OR(C29="",H29="Yes"),"",F29-TODAY())</f>
      </c>
      <c r="J29" s="1">
        <f>IF(AND(C29&lt;&gt;"",H29&lt;&gt;"Yes"),F29+ROW()/100000,"")</f>
      </c>
      <c r="K29" s="1"/>
      <c r="L29" s="1"/>
    </row>
    <row r="30" ht="19" customHeight="1" spans="1:12" x14ac:dyDescent="0.25">
      <c r="A30" s="1"/>
      <c r="B30" s="52" t="s">
        <v>360</v>
      </c>
      <c r="C30" s="53" t="s">
        <v>361</v>
      </c>
      <c r="D30" s="53" t="s">
        <v>330</v>
      </c>
      <c r="E30" s="56">
        <v>75</v>
      </c>
      <c r="F30" s="98">
        <f>IF(C30="","",INT(Setup!$C$7)-E30)</f>
      </c>
      <c r="G30" s="56" t="s">
        <v>331</v>
      </c>
      <c r="H30" s="56"/>
      <c r="I30" s="72">
        <f>IF(OR(C30="",H30="Yes"),"",F30-TODAY())</f>
      </c>
      <c r="J30" s="1">
        <f>IF(AND(C30&lt;&gt;"",H30&lt;&gt;"Yes"),F30+ROW()/100000,"")</f>
      </c>
      <c r="K30" s="1"/>
      <c r="L30" s="1"/>
    </row>
    <row r="31" ht="19" customHeight="1" spans="1:12" x14ac:dyDescent="0.25">
      <c r="A31" s="1"/>
      <c r="B31" s="52" t="s">
        <v>360</v>
      </c>
      <c r="C31" s="53" t="s">
        <v>362</v>
      </c>
      <c r="D31" s="53" t="s">
        <v>330</v>
      </c>
      <c r="E31" s="56">
        <v>45</v>
      </c>
      <c r="F31" s="99">
        <f>IF(C31="","",INT(Setup!$C$7)-E31)</f>
      </c>
      <c r="G31" s="56" t="s">
        <v>339</v>
      </c>
      <c r="H31" s="56"/>
      <c r="I31" s="74">
        <f>IF(OR(C31="",H31="Yes"),"",F31-TODAY())</f>
      </c>
      <c r="J31" s="1">
        <f>IF(AND(C31&lt;&gt;"",H31&lt;&gt;"Yes"),F31+ROW()/100000,"")</f>
      </c>
      <c r="K31" s="1"/>
      <c r="L31" s="1"/>
    </row>
    <row r="32" ht="19" customHeight="1" spans="1:12" x14ac:dyDescent="0.25">
      <c r="A32" s="1"/>
      <c r="B32" s="52" t="s">
        <v>360</v>
      </c>
      <c r="C32" s="53" t="s">
        <v>363</v>
      </c>
      <c r="D32" s="53" t="s">
        <v>46</v>
      </c>
      <c r="E32" s="56">
        <v>40</v>
      </c>
      <c r="F32" s="98">
        <f>IF(C32="","",INT(Setup!$C$7)-E32)</f>
      </c>
      <c r="G32" s="56" t="s">
        <v>331</v>
      </c>
      <c r="H32" s="56"/>
      <c r="I32" s="72">
        <f>IF(OR(C32="",H32="Yes"),"",F32-TODAY())</f>
      </c>
      <c r="J32" s="1">
        <f>IF(AND(C32&lt;&gt;"",H32&lt;&gt;"Yes"),F32+ROW()/100000,"")</f>
      </c>
      <c r="K32" s="1"/>
      <c r="L32" s="1"/>
    </row>
    <row r="33" ht="19" customHeight="1" spans="1:12" x14ac:dyDescent="0.25">
      <c r="A33" s="1"/>
      <c r="B33" s="52" t="s">
        <v>360</v>
      </c>
      <c r="C33" s="53" t="s">
        <v>364</v>
      </c>
      <c r="D33" s="53" t="s">
        <v>330</v>
      </c>
      <c r="E33" s="56">
        <v>35</v>
      </c>
      <c r="F33" s="99">
        <f>IF(C33="","",INT(Setup!$C$7)-E33)</f>
      </c>
      <c r="G33" s="56" t="s">
        <v>331</v>
      </c>
      <c r="H33" s="56"/>
      <c r="I33" s="74">
        <f>IF(OR(C33="",H33="Yes"),"",F33-TODAY())</f>
      </c>
      <c r="J33" s="1">
        <f>IF(AND(C33&lt;&gt;"",H33&lt;&gt;"Yes"),F33+ROW()/100000,"")</f>
      </c>
      <c r="K33" s="1"/>
      <c r="L33" s="1"/>
    </row>
    <row r="34" ht="19" customHeight="1" spans="1:12" x14ac:dyDescent="0.25">
      <c r="A34" s="1"/>
      <c r="B34" s="52" t="s">
        <v>360</v>
      </c>
      <c r="C34" s="53" t="s">
        <v>365</v>
      </c>
      <c r="D34" s="53" t="s">
        <v>330</v>
      </c>
      <c r="E34" s="56">
        <v>30</v>
      </c>
      <c r="F34" s="98">
        <f>IF(C34="","",INT(Setup!$C$7)-E34)</f>
      </c>
      <c r="G34" s="56" t="s">
        <v>331</v>
      </c>
      <c r="H34" s="56"/>
      <c r="I34" s="72">
        <f>IF(OR(C34="",H34="Yes"),"",F34-TODAY())</f>
      </c>
      <c r="J34" s="1">
        <f>IF(AND(C34&lt;&gt;"",H34&lt;&gt;"Yes"),F34+ROW()/100000,"")</f>
      </c>
      <c r="K34" s="1"/>
      <c r="L34" s="1"/>
    </row>
    <row r="35" ht="19" customHeight="1" spans="1:12" x14ac:dyDescent="0.25">
      <c r="A35" s="1"/>
      <c r="B35" s="52" t="s">
        <v>360</v>
      </c>
      <c r="C35" s="53" t="s">
        <v>366</v>
      </c>
      <c r="D35" s="53" t="s">
        <v>330</v>
      </c>
      <c r="E35" s="56">
        <v>30</v>
      </c>
      <c r="F35" s="99">
        <f>IF(C35="","",INT(Setup!$C$7)-E35)</f>
      </c>
      <c r="G35" s="56" t="s">
        <v>339</v>
      </c>
      <c r="H35" s="56"/>
      <c r="I35" s="74">
        <f>IF(OR(C35="",H35="Yes"),"",F35-TODAY())</f>
      </c>
      <c r="J35" s="1">
        <f>IF(AND(C35&lt;&gt;"",H35&lt;&gt;"Yes"),F35+ROW()/100000,"")</f>
      </c>
      <c r="K35" s="1"/>
      <c r="L35" s="1"/>
    </row>
    <row r="36" ht="19" customHeight="1" spans="1:12" x14ac:dyDescent="0.25">
      <c r="A36" s="1"/>
      <c r="B36" s="52" t="s">
        <v>367</v>
      </c>
      <c r="C36" s="53" t="s">
        <v>368</v>
      </c>
      <c r="D36" s="53" t="s">
        <v>330</v>
      </c>
      <c r="E36" s="56">
        <v>21</v>
      </c>
      <c r="F36" s="98">
        <f>IF(C36="","",INT(Setup!$C$7)-E36)</f>
      </c>
      <c r="G36" s="56" t="s">
        <v>331</v>
      </c>
      <c r="H36" s="56"/>
      <c r="I36" s="72">
        <f>IF(OR(C36="",H36="Yes"),"",F36-TODAY())</f>
      </c>
      <c r="J36" s="1">
        <f>IF(AND(C36&lt;&gt;"",H36&lt;&gt;"Yes"),F36+ROW()/100000,"")</f>
      </c>
      <c r="K36" s="1"/>
      <c r="L36" s="1"/>
    </row>
    <row r="37" ht="19" customHeight="1" spans="1:12" x14ac:dyDescent="0.25">
      <c r="A37" s="1"/>
      <c r="B37" s="52" t="s">
        <v>367</v>
      </c>
      <c r="C37" s="53" t="s">
        <v>369</v>
      </c>
      <c r="D37" s="53" t="s">
        <v>49</v>
      </c>
      <c r="E37" s="56">
        <v>14</v>
      </c>
      <c r="F37" s="99">
        <f>IF(C37="","",INT(Setup!$C$7)-E37)</f>
      </c>
      <c r="G37" s="56" t="s">
        <v>331</v>
      </c>
      <c r="H37" s="56"/>
      <c r="I37" s="74">
        <f>IF(OR(C37="",H37="Yes"),"",F37-TODAY())</f>
      </c>
      <c r="J37" s="1">
        <f>IF(AND(C37&lt;&gt;"",H37&lt;&gt;"Yes"),F37+ROW()/100000,"")</f>
      </c>
      <c r="K37" s="1"/>
      <c r="L37" s="1"/>
    </row>
    <row r="38" ht="19" customHeight="1" spans="1:12" x14ac:dyDescent="0.25">
      <c r="A38" s="1"/>
      <c r="B38" s="52" t="s">
        <v>367</v>
      </c>
      <c r="C38" s="53" t="s">
        <v>370</v>
      </c>
      <c r="D38" s="53" t="s">
        <v>330</v>
      </c>
      <c r="E38" s="56">
        <v>14</v>
      </c>
      <c r="F38" s="98">
        <f>IF(C38="","",INT(Setup!$C$7)-E38)</f>
      </c>
      <c r="G38" s="56" t="s">
        <v>331</v>
      </c>
      <c r="H38" s="56"/>
      <c r="I38" s="72">
        <f>IF(OR(C38="",H38="Yes"),"",F38-TODAY())</f>
      </c>
      <c r="J38" s="1">
        <f>IF(AND(C38&lt;&gt;"",H38&lt;&gt;"Yes"),F38+ROW()/100000,"")</f>
      </c>
      <c r="K38" s="1"/>
      <c r="L38" s="1"/>
    </row>
    <row r="39" ht="19" customHeight="1" spans="1:12" x14ac:dyDescent="0.25">
      <c r="A39" s="1"/>
      <c r="B39" s="52" t="s">
        <v>367</v>
      </c>
      <c r="C39" s="53" t="s">
        <v>371</v>
      </c>
      <c r="D39" s="53" t="s">
        <v>330</v>
      </c>
      <c r="E39" s="56">
        <v>10</v>
      </c>
      <c r="F39" s="99">
        <f>IF(C39="","",INT(Setup!$C$7)-E39)</f>
      </c>
      <c r="G39" s="56" t="s">
        <v>331</v>
      </c>
      <c r="H39" s="56"/>
      <c r="I39" s="74">
        <f>IF(OR(C39="",H39="Yes"),"",F39-TODAY())</f>
      </c>
      <c r="J39" s="1">
        <f>IF(AND(C39&lt;&gt;"",H39&lt;&gt;"Yes"),F39+ROW()/100000,"")</f>
      </c>
      <c r="K39" s="1"/>
      <c r="L39" s="1"/>
    </row>
    <row r="40" ht="19" customHeight="1" spans="1:12" x14ac:dyDescent="0.25">
      <c r="A40" s="1"/>
      <c r="B40" s="52" t="s">
        <v>367</v>
      </c>
      <c r="C40" s="53" t="s">
        <v>372</v>
      </c>
      <c r="D40" s="53" t="s">
        <v>46</v>
      </c>
      <c r="E40" s="56">
        <v>10</v>
      </c>
      <c r="F40" s="98">
        <f>IF(C40="","",INT(Setup!$C$7)-E40)</f>
      </c>
      <c r="G40" s="56" t="s">
        <v>345</v>
      </c>
      <c r="H40" s="56"/>
      <c r="I40" s="72">
        <f>IF(OR(C40="",H40="Yes"),"",F40-TODAY())</f>
      </c>
      <c r="J40" s="1">
        <f>IF(AND(C40&lt;&gt;"",H40&lt;&gt;"Yes"),F40+ROW()/100000,"")</f>
      </c>
      <c r="K40" s="1"/>
      <c r="L40" s="1"/>
    </row>
    <row r="41" ht="19" customHeight="1" spans="1:12" x14ac:dyDescent="0.25">
      <c r="A41" s="1"/>
      <c r="B41" s="52" t="s">
        <v>367</v>
      </c>
      <c r="C41" s="53" t="s">
        <v>373</v>
      </c>
      <c r="D41" s="53" t="s">
        <v>46</v>
      </c>
      <c r="E41" s="56">
        <v>14</v>
      </c>
      <c r="F41" s="99">
        <f>IF(C41="","",INT(Setup!$C$7)-E41)</f>
      </c>
      <c r="G41" s="56" t="s">
        <v>345</v>
      </c>
      <c r="H41" s="56"/>
      <c r="I41" s="74">
        <f>IF(OR(C41="",H41="Yes"),"",F41-TODAY())</f>
      </c>
      <c r="J41" s="1">
        <f>IF(AND(C41&lt;&gt;"",H41&lt;&gt;"Yes"),F41+ROW()/100000,"")</f>
      </c>
      <c r="K41" s="1"/>
      <c r="L41" s="1"/>
    </row>
    <row r="42" ht="19" customHeight="1" spans="1:12" x14ac:dyDescent="0.25">
      <c r="A42" s="1"/>
      <c r="B42" s="52" t="s">
        <v>374</v>
      </c>
      <c r="C42" s="53" t="s">
        <v>375</v>
      </c>
      <c r="D42" s="53" t="s">
        <v>49</v>
      </c>
      <c r="E42" s="56">
        <v>7</v>
      </c>
      <c r="F42" s="98">
        <f>IF(C42="","",INT(Setup!$C$7)-E42)</f>
      </c>
      <c r="G42" s="56" t="s">
        <v>331</v>
      </c>
      <c r="H42" s="56"/>
      <c r="I42" s="72">
        <f>IF(OR(C42="",H42="Yes"),"",F42-TODAY())</f>
      </c>
      <c r="J42" s="1">
        <f>IF(AND(C42&lt;&gt;"",H42&lt;&gt;"Yes"),F42+ROW()/100000,"")</f>
      </c>
      <c r="K42" s="1"/>
      <c r="L42" s="1"/>
    </row>
    <row r="43" ht="19" customHeight="1" spans="1:12" x14ac:dyDescent="0.25">
      <c r="A43" s="1"/>
      <c r="B43" s="52" t="s">
        <v>374</v>
      </c>
      <c r="C43" s="53" t="s">
        <v>376</v>
      </c>
      <c r="D43" s="53" t="s">
        <v>330</v>
      </c>
      <c r="E43" s="56">
        <v>5</v>
      </c>
      <c r="F43" s="99">
        <f>IF(C43="","",INT(Setup!$C$7)-E43)</f>
      </c>
      <c r="G43" s="56" t="s">
        <v>339</v>
      </c>
      <c r="H43" s="56"/>
      <c r="I43" s="74">
        <f>IF(OR(C43="",H43="Yes"),"",F43-TODAY())</f>
      </c>
      <c r="J43" s="1">
        <f>IF(AND(C43&lt;&gt;"",H43&lt;&gt;"Yes"),F43+ROW()/100000,"")</f>
      </c>
      <c r="K43" s="1"/>
      <c r="L43" s="1"/>
    </row>
    <row r="44" ht="19" customHeight="1" spans="1:12" x14ac:dyDescent="0.25">
      <c r="A44" s="1"/>
      <c r="B44" s="52" t="s">
        <v>374</v>
      </c>
      <c r="C44" s="53" t="s">
        <v>377</v>
      </c>
      <c r="D44" s="53" t="s">
        <v>49</v>
      </c>
      <c r="E44" s="56">
        <v>5</v>
      </c>
      <c r="F44" s="98">
        <f>IF(C44="","",INT(Setup!$C$7)-E44)</f>
      </c>
      <c r="G44" s="56" t="s">
        <v>331</v>
      </c>
      <c r="H44" s="56"/>
      <c r="I44" s="72">
        <f>IF(OR(C44="",H44="Yes"),"",F44-TODAY())</f>
      </c>
      <c r="J44" s="1">
        <f>IF(AND(C44&lt;&gt;"",H44&lt;&gt;"Yes"),F44+ROW()/100000,"")</f>
      </c>
      <c r="K44" s="1"/>
      <c r="L44" s="1"/>
    </row>
    <row r="45" ht="19" customHeight="1" spans="1:12" x14ac:dyDescent="0.25">
      <c r="A45" s="1"/>
      <c r="B45" s="52" t="s">
        <v>374</v>
      </c>
      <c r="C45" s="53" t="s">
        <v>378</v>
      </c>
      <c r="D45" s="53" t="s">
        <v>46</v>
      </c>
      <c r="E45" s="56">
        <v>4</v>
      </c>
      <c r="F45" s="99">
        <f>IF(C45="","",INT(Setup!$C$7)-E45)</f>
      </c>
      <c r="G45" s="56" t="s">
        <v>331</v>
      </c>
      <c r="H45" s="56"/>
      <c r="I45" s="74">
        <f>IF(OR(C45="",H45="Yes"),"",F45-TODAY())</f>
      </c>
      <c r="J45" s="1">
        <f>IF(AND(C45&lt;&gt;"",H45&lt;&gt;"Yes"),F45+ROW()/100000,"")</f>
      </c>
      <c r="K45" s="1"/>
      <c r="L45" s="1"/>
    </row>
    <row r="46" ht="19" customHeight="1" spans="1:12" x14ac:dyDescent="0.25">
      <c r="A46" s="1"/>
      <c r="B46" s="52" t="s">
        <v>374</v>
      </c>
      <c r="C46" s="53" t="s">
        <v>379</v>
      </c>
      <c r="D46" s="53" t="s">
        <v>49</v>
      </c>
      <c r="E46" s="56">
        <v>3</v>
      </c>
      <c r="F46" s="98">
        <f>IF(C46="","",INT(Setup!$C$7)-E46)</f>
      </c>
      <c r="G46" s="56" t="s">
        <v>339</v>
      </c>
      <c r="H46" s="56"/>
      <c r="I46" s="72">
        <f>IF(OR(C46="",H46="Yes"),"",F46-TODAY())</f>
      </c>
      <c r="J46" s="1">
        <f>IF(AND(C46&lt;&gt;"",H46&lt;&gt;"Yes"),F46+ROW()/100000,"")</f>
      </c>
      <c r="K46" s="1"/>
      <c r="L46" s="1"/>
    </row>
    <row r="47" ht="19" customHeight="1" spans="1:12" x14ac:dyDescent="0.25">
      <c r="A47" s="1"/>
      <c r="B47" s="52" t="s">
        <v>374</v>
      </c>
      <c r="C47" s="53" t="s">
        <v>380</v>
      </c>
      <c r="D47" s="53" t="s">
        <v>330</v>
      </c>
      <c r="E47" s="56">
        <v>1</v>
      </c>
      <c r="F47" s="99">
        <f>IF(C47="","",INT(Setup!$C$7)-E47)</f>
      </c>
      <c r="G47" s="56" t="s">
        <v>331</v>
      </c>
      <c r="H47" s="56"/>
      <c r="I47" s="74">
        <f>IF(OR(C47="",H47="Yes"),"",F47-TODAY())</f>
      </c>
      <c r="J47" s="1">
        <f>IF(AND(C47&lt;&gt;"",H47&lt;&gt;"Yes"),F47+ROW()/100000,"")</f>
      </c>
      <c r="K47" s="1"/>
      <c r="L47" s="1"/>
    </row>
    <row r="48" ht="19" customHeight="1" spans="1:12" x14ac:dyDescent="0.25">
      <c r="A48" s="1"/>
      <c r="B48" s="52" t="s">
        <v>381</v>
      </c>
      <c r="C48" s="53" t="s">
        <v>382</v>
      </c>
      <c r="D48" s="53" t="s">
        <v>330</v>
      </c>
      <c r="E48" s="56">
        <v>0</v>
      </c>
      <c r="F48" s="98">
        <f>IF(C48="","",INT(Setup!$C$7)-E48)</f>
      </c>
      <c r="G48" s="56" t="s">
        <v>331</v>
      </c>
      <c r="H48" s="56"/>
      <c r="I48" s="72">
        <f>IF(OR(C48="",H48="Yes"),"",F48-TODAY())</f>
      </c>
      <c r="J48" s="1">
        <f>IF(AND(C48&lt;&gt;"",H48&lt;&gt;"Yes"),F48+ROW()/100000,"")</f>
      </c>
      <c r="K48" s="1"/>
      <c r="L48" s="1"/>
    </row>
    <row r="49" ht="19" customHeight="1" spans="1:12" x14ac:dyDescent="0.25">
      <c r="A49" s="1"/>
      <c r="B49" s="52" t="s">
        <v>381</v>
      </c>
      <c r="C49" s="53" t="s">
        <v>383</v>
      </c>
      <c r="D49" s="53" t="s">
        <v>46</v>
      </c>
      <c r="E49" s="56">
        <v>0</v>
      </c>
      <c r="F49" s="99">
        <f>IF(C49="","",INT(Setup!$C$7)-E49)</f>
      </c>
      <c r="G49" s="56" t="s">
        <v>331</v>
      </c>
      <c r="H49" s="56"/>
      <c r="I49" s="74">
        <f>IF(OR(C49="",H49="Yes"),"",F49-TODAY())</f>
      </c>
      <c r="J49" s="1">
        <f>IF(AND(C49&lt;&gt;"",H49&lt;&gt;"Yes"),F49+ROW()/100000,"")</f>
      </c>
      <c r="K49" s="1"/>
      <c r="L49" s="1"/>
    </row>
    <row r="50" ht="19" customHeight="1" spans="1:12" x14ac:dyDescent="0.25">
      <c r="A50" s="1"/>
      <c r="B50" s="52" t="s">
        <v>381</v>
      </c>
      <c r="C50" s="53" t="s">
        <v>384</v>
      </c>
      <c r="D50" s="53" t="s">
        <v>49</v>
      </c>
      <c r="E50" s="56">
        <v>0</v>
      </c>
      <c r="F50" s="98">
        <f>IF(C50="","",INT(Setup!$C$7)-E50)</f>
      </c>
      <c r="G50" s="56" t="s">
        <v>331</v>
      </c>
      <c r="H50" s="56"/>
      <c r="I50" s="72">
        <f>IF(OR(C50="",H50="Yes"),"",F50-TODAY())</f>
      </c>
      <c r="J50" s="1">
        <f>IF(AND(C50&lt;&gt;"",H50&lt;&gt;"Yes"),F50+ROW()/100000,"")</f>
      </c>
      <c r="K50" s="1"/>
      <c r="L50" s="1"/>
    </row>
    <row r="51" ht="19" customHeight="1" spans="1:12" x14ac:dyDescent="0.25">
      <c r="A51" s="1"/>
      <c r="B51" s="52" t="s">
        <v>381</v>
      </c>
      <c r="C51" s="53" t="s">
        <v>385</v>
      </c>
      <c r="D51" s="53" t="s">
        <v>330</v>
      </c>
      <c r="E51" s="56">
        <v>0</v>
      </c>
      <c r="F51" s="99">
        <f>IF(C51="","",INT(Setup!$C$7)-E51)</f>
      </c>
      <c r="G51" s="56" t="s">
        <v>331</v>
      </c>
      <c r="H51" s="56"/>
      <c r="I51" s="74">
        <f>IF(OR(C51="",H51="Yes"),"",F51-TODAY())</f>
      </c>
      <c r="J51" s="1">
        <f>IF(AND(C51&lt;&gt;"",H51&lt;&gt;"Yes"),F51+ROW()/100000,"")</f>
      </c>
      <c r="K51" s="1"/>
      <c r="L51" s="1"/>
    </row>
    <row r="52" spans="1:12" x14ac:dyDescent="0.25">
      <c r="A52" s="1"/>
      <c r="B52" s="1"/>
      <c r="C52" s="1"/>
      <c r="D52" s="1"/>
      <c r="E52" s="1"/>
      <c r="F52" s="1"/>
      <c r="G52" s="1"/>
      <c r="H52" s="1"/>
      <c r="I52" s="1"/>
      <c r="J52" s="1"/>
      <c r="K52" s="1"/>
      <c r="L52" s="1"/>
    </row>
    <row r="53" ht="18" customHeight="1" spans="1:12" x14ac:dyDescent="0.25">
      <c r="A53" s="1"/>
      <c r="B53" s="48" t="s">
        <v>386</v>
      </c>
      <c r="C53" s="48"/>
      <c r="D53" s="48"/>
      <c r="E53" s="48"/>
      <c r="F53" s="48"/>
      <c r="G53" s="48"/>
      <c r="H53" s="48"/>
      <c r="I53" s="48"/>
      <c r="J53" s="48"/>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row r="80" spans="1:12" x14ac:dyDescent="0.25">
      <c r="A80" s="1"/>
      <c r="B80" s="1"/>
      <c r="C80" s="1"/>
      <c r="D80" s="1"/>
      <c r="E80" s="1"/>
      <c r="F80" s="1"/>
      <c r="G80" s="1"/>
      <c r="H80" s="1"/>
      <c r="I80" s="1"/>
      <c r="J80" s="1"/>
      <c r="K80" s="1"/>
      <c r="L80" s="1"/>
    </row>
    <row r="81" spans="1:12" x14ac:dyDescent="0.25">
      <c r="A81" s="1"/>
      <c r="B81" s="1"/>
      <c r="C81" s="1"/>
      <c r="D81" s="1"/>
      <c r="E81" s="1"/>
      <c r="F81" s="1"/>
      <c r="G81" s="1"/>
      <c r="H81" s="1"/>
      <c r="I81" s="1"/>
      <c r="J81" s="1"/>
      <c r="K81" s="1"/>
      <c r="L81" s="1"/>
    </row>
    <row r="82" spans="1:12" x14ac:dyDescent="0.25">
      <c r="A82" s="1"/>
      <c r="B82" s="1"/>
      <c r="C82" s="1"/>
      <c r="D82" s="1"/>
      <c r="E82" s="1"/>
      <c r="F82" s="1"/>
      <c r="G82" s="1"/>
      <c r="H82" s="1"/>
      <c r="I82" s="1"/>
      <c r="J82" s="1"/>
      <c r="K82" s="1"/>
      <c r="L82" s="1"/>
    </row>
    <row r="83" spans="1:12" x14ac:dyDescent="0.25">
      <c r="A83" s="1"/>
      <c r="B83" s="1"/>
      <c r="C83" s="1"/>
      <c r="D83" s="1"/>
      <c r="E83" s="1"/>
      <c r="F83" s="1"/>
      <c r="G83" s="1"/>
      <c r="H83" s="1"/>
      <c r="I83" s="1"/>
      <c r="J83" s="1"/>
      <c r="K83" s="1"/>
      <c r="L83" s="1"/>
    </row>
    <row r="84" spans="1:12" x14ac:dyDescent="0.25">
      <c r="A84" s="1"/>
      <c r="B84" s="1"/>
      <c r="C84" s="1"/>
      <c r="D84" s="1"/>
      <c r="E84" s="1"/>
      <c r="F84" s="1"/>
      <c r="G84" s="1"/>
      <c r="H84" s="1"/>
      <c r="I84" s="1"/>
      <c r="J84" s="1"/>
      <c r="K84" s="1"/>
      <c r="L84" s="1"/>
    </row>
    <row r="85" spans="1:12" x14ac:dyDescent="0.25">
      <c r="A85" s="1"/>
      <c r="B85" s="1"/>
      <c r="C85" s="1"/>
      <c r="D85" s="1"/>
      <c r="E85" s="1"/>
      <c r="F85" s="1"/>
      <c r="G85" s="1"/>
      <c r="H85" s="1"/>
      <c r="I85" s="1"/>
      <c r="J85" s="1"/>
      <c r="K85" s="1"/>
      <c r="L85" s="1"/>
    </row>
  </sheetData>
  <mergeCells count="3">
    <mergeCell ref="B2:J2"/>
    <mergeCell ref="B3:J3"/>
    <mergeCell ref="B53:J53"/>
  </mergeCells>
  <conditionalFormatting sqref="B6:I51">
    <cfRule type="expression" dxfId="23" priority="1">
      <formula>$H6="Yes"</formula>
    </cfRule>
  </conditionalFormatting>
  <conditionalFormatting sqref="I6:I51">
    <cfRule type="expression" dxfId="24" priority="1">
      <formula>AND($H6&lt;&gt;"Yes",I6&lt;&gt;"",I6&lt;0)</formula>
    </cfRule>
  </conditionalFormatting>
  <conditionalFormatting sqref="I6:I51">
    <cfRule type="expression" dxfId="25" priority="1">
      <formula>AND($H6&lt;&gt;"Yes",I6&lt;&gt;"",I6&lt;=14,I6&gt;=0)</formula>
    </cfRule>
  </conditionalFormatting>
  <dataValidations count="3">
    <dataValidation type="list" allowBlank="1" sqref="D6:D51">
      <formula1>"Both,Partner 1,Partner 2,Planner,Family"</formula1>
    </dataValidation>
    <dataValidation type="list" allowBlank="1" sqref="G6:G51">
      <formula1>"High,Medium,Low"</formula1>
    </dataValidation>
    <dataValidation type="list" allowBlank="1" sqref="H6:H51">
      <formula1>"Yes,No"</formula1>
    </dataValidation>
  </dataValidations>
  <pageMargins left="0.4" right="0.4" top="0.5" bottom="0.5" header="0.2" footer="0.2"/>
  <pageSetup orientation="portrait"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R45"/>
  <sheetViews>
    <sheetView workbookViewId="0" showGridLines="0" zoomScale="100"/>
  </sheetViews>
  <sheetFormatPr defaultRowHeight="15" outlineLevelRow="0" outlineLevelCol="0" x14ac:dyDescent="55"/>
  <cols>
    <col min="1" max="1" width="3" customWidth="1"/>
    <col min="2" max="3" width="10" customWidth="1"/>
    <col min="5" max="11" width="19" customWidth="1"/>
    <col min="13" max="13" width="26" customWidth="1"/>
  </cols>
  <sheetData>
    <row r="1" ht="14" customHeight="1" spans="1:18" x14ac:dyDescent="0.25">
      <c r="A1" s="1"/>
      <c r="B1" s="1"/>
      <c r="C1" s="1"/>
      <c r="D1" s="1"/>
      <c r="E1" s="1"/>
      <c r="F1" s="1"/>
      <c r="G1" s="1"/>
      <c r="H1" s="1"/>
      <c r="I1" s="1"/>
      <c r="J1" s="1"/>
      <c r="K1" s="1"/>
      <c r="L1" s="1"/>
      <c r="M1" s="1"/>
      <c r="N1" s="1"/>
      <c r="O1" s="1"/>
      <c r="P1" s="1"/>
      <c r="Q1" s="1"/>
      <c r="R1" s="1"/>
    </row>
    <row r="2" ht="38" customHeight="1" spans="1:18" x14ac:dyDescent="0.25">
      <c r="A2" s="1"/>
      <c r="B2" s="34" t="s">
        <v>387</v>
      </c>
      <c r="C2" s="34"/>
      <c r="D2" s="34"/>
      <c r="E2" s="34"/>
      <c r="F2" s="34"/>
      <c r="G2" s="34"/>
      <c r="H2" s="34"/>
      <c r="I2" s="34"/>
      <c r="J2" s="34"/>
      <c r="K2" s="34"/>
      <c r="L2" s="34"/>
      <c r="M2" s="1"/>
      <c r="N2" s="1"/>
      <c r="O2" s="1"/>
      <c r="P2" s="1"/>
      <c r="Q2" s="1"/>
      <c r="R2" s="1"/>
    </row>
    <row r="3" ht="18" customHeight="1" spans="1:18" x14ac:dyDescent="0.25">
      <c r="A3" s="1"/>
      <c r="B3" s="35" t="s">
        <v>388</v>
      </c>
      <c r="C3" s="35"/>
      <c r="D3" s="35"/>
      <c r="E3" s="35"/>
      <c r="F3" s="35"/>
      <c r="G3" s="35"/>
      <c r="H3" s="35"/>
      <c r="I3" s="35"/>
      <c r="J3" s="35"/>
      <c r="K3" s="35"/>
      <c r="L3" s="35"/>
      <c r="M3" s="1"/>
      <c r="N3" s="1"/>
      <c r="O3" s="1"/>
      <c r="P3" s="1"/>
      <c r="Q3" s="1"/>
      <c r="R3" s="1"/>
    </row>
    <row r="4" ht="10" customHeight="1" spans="1:18" x14ac:dyDescent="0.25">
      <c r="A4" s="1"/>
      <c r="B4" s="36"/>
      <c r="C4" s="36"/>
      <c r="D4" s="36"/>
      <c r="E4" s="36"/>
      <c r="F4" s="36"/>
      <c r="G4" s="36"/>
      <c r="H4" s="36"/>
      <c r="I4" s="36"/>
      <c r="J4" s="36"/>
      <c r="K4" s="36"/>
      <c r="L4" s="36"/>
      <c r="M4" s="1"/>
      <c r="N4" s="1"/>
      <c r="O4" s="1"/>
      <c r="P4" s="1"/>
      <c r="Q4" s="1"/>
      <c r="R4" s="1"/>
    </row>
    <row r="5" spans="1:18" x14ac:dyDescent="0.25">
      <c r="A5" s="1"/>
      <c r="B5" s="100" t="s">
        <v>172</v>
      </c>
      <c r="C5" s="100" t="s">
        <v>389</v>
      </c>
      <c r="D5" s="1"/>
      <c r="E5" s="1"/>
      <c r="F5" s="1"/>
      <c r="G5" s="1"/>
      <c r="H5" s="1"/>
      <c r="I5" s="1"/>
      <c r="J5" s="1"/>
      <c r="K5" s="1"/>
      <c r="L5" s="1"/>
      <c r="M5" s="1"/>
      <c r="N5" s="1"/>
      <c r="O5" s="1"/>
      <c r="P5" s="1"/>
      <c r="Q5" s="1"/>
      <c r="R5" s="1"/>
    </row>
    <row r="6" ht="26" customHeight="1" spans="1:18" x14ac:dyDescent="0.25">
      <c r="A6" s="1"/>
      <c r="B6" s="101">
        <v>5</v>
      </c>
      <c r="C6" s="101">
        <v>2027</v>
      </c>
      <c r="D6" s="1"/>
      <c r="E6" s="102">
        <f>TEXT(DATE($C$6,$B$6,1),"mmmm yyyy")</f>
      </c>
      <c r="F6" s="102"/>
      <c r="G6" s="102"/>
      <c r="H6" s="102"/>
      <c r="I6" s="102"/>
      <c r="J6" s="102"/>
      <c r="K6" s="102"/>
      <c r="L6" s="1"/>
      <c r="M6" s="1"/>
      <c r="N6" s="1"/>
      <c r="O6" s="1"/>
      <c r="P6" s="1"/>
      <c r="Q6" s="1"/>
      <c r="R6" s="1"/>
    </row>
    <row r="7" spans="1:18" x14ac:dyDescent="0.25">
      <c r="A7" s="1"/>
      <c r="B7" s="1"/>
      <c r="C7" s="1"/>
      <c r="D7" s="1"/>
      <c r="E7" s="1"/>
      <c r="F7" s="1"/>
      <c r="G7" s="1"/>
      <c r="H7" s="1"/>
      <c r="I7" s="1"/>
      <c r="J7" s="1"/>
      <c r="K7" s="1"/>
      <c r="L7" s="1"/>
      <c r="M7" s="1"/>
      <c r="N7" s="1"/>
      <c r="O7" s="1"/>
      <c r="P7" s="1"/>
      <c r="Q7" s="1"/>
      <c r="R7" s="1"/>
    </row>
    <row r="8" ht="20" customHeight="1" spans="1:18" x14ac:dyDescent="0.25">
      <c r="A8" s="1"/>
      <c r="B8" s="1"/>
      <c r="C8" s="1"/>
      <c r="D8" s="1"/>
      <c r="E8" s="93" t="s">
        <v>390</v>
      </c>
      <c r="F8" s="93" t="s">
        <v>391</v>
      </c>
      <c r="G8" s="93" t="s">
        <v>392</v>
      </c>
      <c r="H8" s="93" t="s">
        <v>393</v>
      </c>
      <c r="I8" s="93" t="s">
        <v>394</v>
      </c>
      <c r="J8" s="93" t="s">
        <v>395</v>
      </c>
      <c r="K8" s="93" t="s">
        <v>396</v>
      </c>
      <c r="L8" s="1"/>
      <c r="M8" s="1"/>
      <c r="N8" s="1"/>
      <c r="O8" s="1"/>
      <c r="P8" s="1"/>
      <c r="Q8" s="1"/>
      <c r="R8" s="1"/>
    </row>
    <row r="9" ht="16" customHeight="1" spans="1:18" x14ac:dyDescent="0.25">
      <c r="A9" s="1"/>
      <c r="B9" s="1"/>
      <c r="C9" s="1"/>
      <c r="D9" s="1"/>
      <c r="E9" s="103">
        <f>IF(MONTH(((DATE($C$6,$B$6,1)-WEEKDAY(DATE($C$6,$B$6,1),2)+1)+0))=$B$6,DAY(((DATE($C$6,$B$6,1)-WEEKDAY(DATE($C$6,$B$6,1),2)+1)+0)),"")</f>
      </c>
      <c r="F9" s="103">
        <f>IF(MONTH(((DATE($C$6,$B$6,1)-WEEKDAY(DATE($C$6,$B$6,1),2)+1)+1))=$B$6,DAY(((DATE($C$6,$B$6,1)-WEEKDAY(DATE($C$6,$B$6,1),2)+1)+1)),"")</f>
      </c>
      <c r="G9" s="103">
        <f>IF(MONTH(((DATE($C$6,$B$6,1)-WEEKDAY(DATE($C$6,$B$6,1),2)+1)+2))=$B$6,DAY(((DATE($C$6,$B$6,1)-WEEKDAY(DATE($C$6,$B$6,1),2)+1)+2)),"")</f>
      </c>
      <c r="H9" s="103">
        <f>IF(MONTH(((DATE($C$6,$B$6,1)-WEEKDAY(DATE($C$6,$B$6,1),2)+1)+3))=$B$6,DAY(((DATE($C$6,$B$6,1)-WEEKDAY(DATE($C$6,$B$6,1),2)+1)+3)),"")</f>
      </c>
      <c r="I9" s="103">
        <f>IF(MONTH(((DATE($C$6,$B$6,1)-WEEKDAY(DATE($C$6,$B$6,1),2)+1)+4))=$B$6,DAY(((DATE($C$6,$B$6,1)-WEEKDAY(DATE($C$6,$B$6,1),2)+1)+4)),"")</f>
      </c>
      <c r="J9" s="103">
        <f>IF(MONTH(((DATE($C$6,$B$6,1)-WEEKDAY(DATE($C$6,$B$6,1),2)+1)+5))=$B$6,DAY(((DATE($C$6,$B$6,1)-WEEKDAY(DATE($C$6,$B$6,1),2)+1)+5)),"")</f>
      </c>
      <c r="K9" s="103">
        <f>IF(MONTH(((DATE($C$6,$B$6,1)-WEEKDAY(DATE($C$6,$B$6,1),2)+1)+6))=$B$6,DAY(((DATE($C$6,$B$6,1)-WEEKDAY(DATE($C$6,$B$6,1),2)+1)+6)),"")</f>
      </c>
      <c r="L9" s="1"/>
      <c r="M9" s="1"/>
      <c r="N9" s="1"/>
      <c r="O9" s="1"/>
      <c r="P9" s="1"/>
      <c r="Q9" s="1"/>
      <c r="R9" s="1"/>
    </row>
    <row r="10" ht="34" customHeight="1" spans="1:18" x14ac:dyDescent="0.25">
      <c r="A10" s="1"/>
      <c r="B10" s="1"/>
      <c r="C10" s="1"/>
      <c r="D10" s="1"/>
      <c r="E10" s="104">
        <f>IF(MONTH(((DATE($C$6,$B$6,1)-WEEKDAY(DATE($C$6,$B$6,1),2)+1)+0))&lt;&gt;$B$6,"",IF(((DATE($C$6,$B$6,1)-WEEKDAY(DATE($C$6,$B$6,1),2)+1)+0)=INT(Setup!$C$7),"WEDDING DAY",TRIM(IFERROR(INDEX(Checklist!$C$6:$C$51,MATCH(((DATE($C$6,$B$6,1)-WEEKDAY(DATE($C$6,$B$6,1),2)+1)+0),Checklist!$F$6:$F$51,0)),"")&amp;IF(SUMIFS('Payment Schedule'!$E$6:$E$55,'Payment Schedule'!$B$6:$B$55,((DATE($C$6,$B$6,1)-WEEKDAY(DATE($C$6,$B$6,1),2)+1)+0))&gt;0," "&amp;Setup!$C$8&amp;TEXT(SUMIFS('Payment Schedule'!$E$6:$E$55,'Payment Schedule'!$B$6:$B$55,((DATE($C$6,$B$6,1)-WEEKDAY(DATE($C$6,$B$6,1),2)+1)+0)),"#,##0")&amp;" due",""))))</f>
      </c>
      <c r="F10" s="104">
        <f>IF(MONTH(((DATE($C$6,$B$6,1)-WEEKDAY(DATE($C$6,$B$6,1),2)+1)+1))&lt;&gt;$B$6,"",IF(((DATE($C$6,$B$6,1)-WEEKDAY(DATE($C$6,$B$6,1),2)+1)+1)=INT(Setup!$C$7),"WEDDING DAY",TRIM(IFERROR(INDEX(Checklist!$C$6:$C$51,MATCH(((DATE($C$6,$B$6,1)-WEEKDAY(DATE($C$6,$B$6,1),2)+1)+1),Checklist!$F$6:$F$51,0)),"")&amp;IF(SUMIFS('Payment Schedule'!$E$6:$E$55,'Payment Schedule'!$B$6:$B$55,((DATE($C$6,$B$6,1)-WEEKDAY(DATE($C$6,$B$6,1),2)+1)+1))&gt;0," "&amp;Setup!$C$8&amp;TEXT(SUMIFS('Payment Schedule'!$E$6:$E$55,'Payment Schedule'!$B$6:$B$55,((DATE($C$6,$B$6,1)-WEEKDAY(DATE($C$6,$B$6,1),2)+1)+1)),"#,##0")&amp;" due",""))))</f>
      </c>
      <c r="G10" s="104">
        <f>IF(MONTH(((DATE($C$6,$B$6,1)-WEEKDAY(DATE($C$6,$B$6,1),2)+1)+2))&lt;&gt;$B$6,"",IF(((DATE($C$6,$B$6,1)-WEEKDAY(DATE($C$6,$B$6,1),2)+1)+2)=INT(Setup!$C$7),"WEDDING DAY",TRIM(IFERROR(INDEX(Checklist!$C$6:$C$51,MATCH(((DATE($C$6,$B$6,1)-WEEKDAY(DATE($C$6,$B$6,1),2)+1)+2),Checklist!$F$6:$F$51,0)),"")&amp;IF(SUMIFS('Payment Schedule'!$E$6:$E$55,'Payment Schedule'!$B$6:$B$55,((DATE($C$6,$B$6,1)-WEEKDAY(DATE($C$6,$B$6,1),2)+1)+2))&gt;0," "&amp;Setup!$C$8&amp;TEXT(SUMIFS('Payment Schedule'!$E$6:$E$55,'Payment Schedule'!$B$6:$B$55,((DATE($C$6,$B$6,1)-WEEKDAY(DATE($C$6,$B$6,1),2)+1)+2)),"#,##0")&amp;" due",""))))</f>
      </c>
      <c r="H10" s="104">
        <f>IF(MONTH(((DATE($C$6,$B$6,1)-WEEKDAY(DATE($C$6,$B$6,1),2)+1)+3))&lt;&gt;$B$6,"",IF(((DATE($C$6,$B$6,1)-WEEKDAY(DATE($C$6,$B$6,1),2)+1)+3)=INT(Setup!$C$7),"WEDDING DAY",TRIM(IFERROR(INDEX(Checklist!$C$6:$C$51,MATCH(((DATE($C$6,$B$6,1)-WEEKDAY(DATE($C$6,$B$6,1),2)+1)+3),Checklist!$F$6:$F$51,0)),"")&amp;IF(SUMIFS('Payment Schedule'!$E$6:$E$55,'Payment Schedule'!$B$6:$B$55,((DATE($C$6,$B$6,1)-WEEKDAY(DATE($C$6,$B$6,1),2)+1)+3))&gt;0," "&amp;Setup!$C$8&amp;TEXT(SUMIFS('Payment Schedule'!$E$6:$E$55,'Payment Schedule'!$B$6:$B$55,((DATE($C$6,$B$6,1)-WEEKDAY(DATE($C$6,$B$6,1),2)+1)+3)),"#,##0")&amp;" due",""))))</f>
      </c>
      <c r="I10" s="104">
        <f>IF(MONTH(((DATE($C$6,$B$6,1)-WEEKDAY(DATE($C$6,$B$6,1),2)+1)+4))&lt;&gt;$B$6,"",IF(((DATE($C$6,$B$6,1)-WEEKDAY(DATE($C$6,$B$6,1),2)+1)+4)=INT(Setup!$C$7),"WEDDING DAY",TRIM(IFERROR(INDEX(Checklist!$C$6:$C$51,MATCH(((DATE($C$6,$B$6,1)-WEEKDAY(DATE($C$6,$B$6,1),2)+1)+4),Checklist!$F$6:$F$51,0)),"")&amp;IF(SUMIFS('Payment Schedule'!$E$6:$E$55,'Payment Schedule'!$B$6:$B$55,((DATE($C$6,$B$6,1)-WEEKDAY(DATE($C$6,$B$6,1),2)+1)+4))&gt;0," "&amp;Setup!$C$8&amp;TEXT(SUMIFS('Payment Schedule'!$E$6:$E$55,'Payment Schedule'!$B$6:$B$55,((DATE($C$6,$B$6,1)-WEEKDAY(DATE($C$6,$B$6,1),2)+1)+4)),"#,##0")&amp;" due",""))))</f>
      </c>
      <c r="J10" s="104">
        <f>IF(MONTH(((DATE($C$6,$B$6,1)-WEEKDAY(DATE($C$6,$B$6,1),2)+1)+5))&lt;&gt;$B$6,"",IF(((DATE($C$6,$B$6,1)-WEEKDAY(DATE($C$6,$B$6,1),2)+1)+5)=INT(Setup!$C$7),"WEDDING DAY",TRIM(IFERROR(INDEX(Checklist!$C$6:$C$51,MATCH(((DATE($C$6,$B$6,1)-WEEKDAY(DATE($C$6,$B$6,1),2)+1)+5),Checklist!$F$6:$F$51,0)),"")&amp;IF(SUMIFS('Payment Schedule'!$E$6:$E$55,'Payment Schedule'!$B$6:$B$55,((DATE($C$6,$B$6,1)-WEEKDAY(DATE($C$6,$B$6,1),2)+1)+5))&gt;0," "&amp;Setup!$C$8&amp;TEXT(SUMIFS('Payment Schedule'!$E$6:$E$55,'Payment Schedule'!$B$6:$B$55,((DATE($C$6,$B$6,1)-WEEKDAY(DATE($C$6,$B$6,1),2)+1)+5)),"#,##0")&amp;" due",""))))</f>
      </c>
      <c r="K10" s="104">
        <f>IF(MONTH(((DATE($C$6,$B$6,1)-WEEKDAY(DATE($C$6,$B$6,1),2)+1)+6))&lt;&gt;$B$6,"",IF(((DATE($C$6,$B$6,1)-WEEKDAY(DATE($C$6,$B$6,1),2)+1)+6)=INT(Setup!$C$7),"WEDDING DAY",TRIM(IFERROR(INDEX(Checklist!$C$6:$C$51,MATCH(((DATE($C$6,$B$6,1)-WEEKDAY(DATE($C$6,$B$6,1),2)+1)+6),Checklist!$F$6:$F$51,0)),"")&amp;IF(SUMIFS('Payment Schedule'!$E$6:$E$55,'Payment Schedule'!$B$6:$B$55,((DATE($C$6,$B$6,1)-WEEKDAY(DATE($C$6,$B$6,1),2)+1)+6))&gt;0," "&amp;Setup!$C$8&amp;TEXT(SUMIFS('Payment Schedule'!$E$6:$E$55,'Payment Schedule'!$B$6:$B$55,((DATE($C$6,$B$6,1)-WEEKDAY(DATE($C$6,$B$6,1),2)+1)+6)),"#,##0")&amp;" due",""))))</f>
      </c>
      <c r="L10" s="1"/>
      <c r="M10" s="1"/>
      <c r="N10" s="1"/>
      <c r="O10" s="1"/>
      <c r="P10" s="1"/>
      <c r="Q10" s="1"/>
      <c r="R10" s="1"/>
    </row>
    <row r="11" ht="16" customHeight="1" spans="1:18" x14ac:dyDescent="0.25">
      <c r="A11" s="1"/>
      <c r="B11" s="1"/>
      <c r="C11" s="1"/>
      <c r="D11" s="1"/>
      <c r="E11" s="103">
        <f>IF(MONTH(((DATE($C$6,$B$6,1)-WEEKDAY(DATE($C$6,$B$6,1),2)+1)+7))=$B$6,DAY(((DATE($C$6,$B$6,1)-WEEKDAY(DATE($C$6,$B$6,1),2)+1)+7)),"")</f>
      </c>
      <c r="F11" s="103">
        <f>IF(MONTH(((DATE($C$6,$B$6,1)-WEEKDAY(DATE($C$6,$B$6,1),2)+1)+8))=$B$6,DAY(((DATE($C$6,$B$6,1)-WEEKDAY(DATE($C$6,$B$6,1),2)+1)+8)),"")</f>
      </c>
      <c r="G11" s="103">
        <f>IF(MONTH(((DATE($C$6,$B$6,1)-WEEKDAY(DATE($C$6,$B$6,1),2)+1)+9))=$B$6,DAY(((DATE($C$6,$B$6,1)-WEEKDAY(DATE($C$6,$B$6,1),2)+1)+9)),"")</f>
      </c>
      <c r="H11" s="103">
        <f>IF(MONTH(((DATE($C$6,$B$6,1)-WEEKDAY(DATE($C$6,$B$6,1),2)+1)+10))=$B$6,DAY(((DATE($C$6,$B$6,1)-WEEKDAY(DATE($C$6,$B$6,1),2)+1)+10)),"")</f>
      </c>
      <c r="I11" s="103">
        <f>IF(MONTH(((DATE($C$6,$B$6,1)-WEEKDAY(DATE($C$6,$B$6,1),2)+1)+11))=$B$6,DAY(((DATE($C$6,$B$6,1)-WEEKDAY(DATE($C$6,$B$6,1),2)+1)+11)),"")</f>
      </c>
      <c r="J11" s="103">
        <f>IF(MONTH(((DATE($C$6,$B$6,1)-WEEKDAY(DATE($C$6,$B$6,1),2)+1)+12))=$B$6,DAY(((DATE($C$6,$B$6,1)-WEEKDAY(DATE($C$6,$B$6,1),2)+1)+12)),"")</f>
      </c>
      <c r="K11" s="103">
        <f>IF(MONTH(((DATE($C$6,$B$6,1)-WEEKDAY(DATE($C$6,$B$6,1),2)+1)+13))=$B$6,DAY(((DATE($C$6,$B$6,1)-WEEKDAY(DATE($C$6,$B$6,1),2)+1)+13)),"")</f>
      </c>
      <c r="L11" s="1"/>
      <c r="M11" s="1"/>
      <c r="N11" s="1"/>
      <c r="O11" s="1"/>
      <c r="P11" s="1"/>
      <c r="Q11" s="1"/>
      <c r="R11" s="1"/>
    </row>
    <row r="12" ht="34" customHeight="1" spans="1:18" x14ac:dyDescent="0.25">
      <c r="A12" s="1"/>
      <c r="B12" s="1"/>
      <c r="C12" s="1"/>
      <c r="D12" s="1"/>
      <c r="E12" s="104">
        <f>IF(MONTH(((DATE($C$6,$B$6,1)-WEEKDAY(DATE($C$6,$B$6,1),2)+1)+7))&lt;&gt;$B$6,"",IF(((DATE($C$6,$B$6,1)-WEEKDAY(DATE($C$6,$B$6,1),2)+1)+7)=INT(Setup!$C$7),"WEDDING DAY",TRIM(IFERROR(INDEX(Checklist!$C$6:$C$51,MATCH(((DATE($C$6,$B$6,1)-WEEKDAY(DATE($C$6,$B$6,1),2)+1)+7),Checklist!$F$6:$F$51,0)),"")&amp;IF(SUMIFS('Payment Schedule'!$E$6:$E$55,'Payment Schedule'!$B$6:$B$55,((DATE($C$6,$B$6,1)-WEEKDAY(DATE($C$6,$B$6,1),2)+1)+7))&gt;0," "&amp;Setup!$C$8&amp;TEXT(SUMIFS('Payment Schedule'!$E$6:$E$55,'Payment Schedule'!$B$6:$B$55,((DATE($C$6,$B$6,1)-WEEKDAY(DATE($C$6,$B$6,1),2)+1)+7)),"#,##0")&amp;" due",""))))</f>
      </c>
      <c r="F12" s="104">
        <f>IF(MONTH(((DATE($C$6,$B$6,1)-WEEKDAY(DATE($C$6,$B$6,1),2)+1)+8))&lt;&gt;$B$6,"",IF(((DATE($C$6,$B$6,1)-WEEKDAY(DATE($C$6,$B$6,1),2)+1)+8)=INT(Setup!$C$7),"WEDDING DAY",TRIM(IFERROR(INDEX(Checklist!$C$6:$C$51,MATCH(((DATE($C$6,$B$6,1)-WEEKDAY(DATE($C$6,$B$6,1),2)+1)+8),Checklist!$F$6:$F$51,0)),"")&amp;IF(SUMIFS('Payment Schedule'!$E$6:$E$55,'Payment Schedule'!$B$6:$B$55,((DATE($C$6,$B$6,1)-WEEKDAY(DATE($C$6,$B$6,1),2)+1)+8))&gt;0," "&amp;Setup!$C$8&amp;TEXT(SUMIFS('Payment Schedule'!$E$6:$E$55,'Payment Schedule'!$B$6:$B$55,((DATE($C$6,$B$6,1)-WEEKDAY(DATE($C$6,$B$6,1),2)+1)+8)),"#,##0")&amp;" due",""))))</f>
      </c>
      <c r="G12" s="104">
        <f>IF(MONTH(((DATE($C$6,$B$6,1)-WEEKDAY(DATE($C$6,$B$6,1),2)+1)+9))&lt;&gt;$B$6,"",IF(((DATE($C$6,$B$6,1)-WEEKDAY(DATE($C$6,$B$6,1),2)+1)+9)=INT(Setup!$C$7),"WEDDING DAY",TRIM(IFERROR(INDEX(Checklist!$C$6:$C$51,MATCH(((DATE($C$6,$B$6,1)-WEEKDAY(DATE($C$6,$B$6,1),2)+1)+9),Checklist!$F$6:$F$51,0)),"")&amp;IF(SUMIFS('Payment Schedule'!$E$6:$E$55,'Payment Schedule'!$B$6:$B$55,((DATE($C$6,$B$6,1)-WEEKDAY(DATE($C$6,$B$6,1),2)+1)+9))&gt;0," "&amp;Setup!$C$8&amp;TEXT(SUMIFS('Payment Schedule'!$E$6:$E$55,'Payment Schedule'!$B$6:$B$55,((DATE($C$6,$B$6,1)-WEEKDAY(DATE($C$6,$B$6,1),2)+1)+9)),"#,##0")&amp;" due",""))))</f>
      </c>
      <c r="H12" s="104">
        <f>IF(MONTH(((DATE($C$6,$B$6,1)-WEEKDAY(DATE($C$6,$B$6,1),2)+1)+10))&lt;&gt;$B$6,"",IF(((DATE($C$6,$B$6,1)-WEEKDAY(DATE($C$6,$B$6,1),2)+1)+10)=INT(Setup!$C$7),"WEDDING DAY",TRIM(IFERROR(INDEX(Checklist!$C$6:$C$51,MATCH(((DATE($C$6,$B$6,1)-WEEKDAY(DATE($C$6,$B$6,1),2)+1)+10),Checklist!$F$6:$F$51,0)),"")&amp;IF(SUMIFS('Payment Schedule'!$E$6:$E$55,'Payment Schedule'!$B$6:$B$55,((DATE($C$6,$B$6,1)-WEEKDAY(DATE($C$6,$B$6,1),2)+1)+10))&gt;0," "&amp;Setup!$C$8&amp;TEXT(SUMIFS('Payment Schedule'!$E$6:$E$55,'Payment Schedule'!$B$6:$B$55,((DATE($C$6,$B$6,1)-WEEKDAY(DATE($C$6,$B$6,1),2)+1)+10)),"#,##0")&amp;" due",""))))</f>
      </c>
      <c r="I12" s="104">
        <f>IF(MONTH(((DATE($C$6,$B$6,1)-WEEKDAY(DATE($C$6,$B$6,1),2)+1)+11))&lt;&gt;$B$6,"",IF(((DATE($C$6,$B$6,1)-WEEKDAY(DATE($C$6,$B$6,1),2)+1)+11)=INT(Setup!$C$7),"WEDDING DAY",TRIM(IFERROR(INDEX(Checklist!$C$6:$C$51,MATCH(((DATE($C$6,$B$6,1)-WEEKDAY(DATE($C$6,$B$6,1),2)+1)+11),Checklist!$F$6:$F$51,0)),"")&amp;IF(SUMIFS('Payment Schedule'!$E$6:$E$55,'Payment Schedule'!$B$6:$B$55,((DATE($C$6,$B$6,1)-WEEKDAY(DATE($C$6,$B$6,1),2)+1)+11))&gt;0," "&amp;Setup!$C$8&amp;TEXT(SUMIFS('Payment Schedule'!$E$6:$E$55,'Payment Schedule'!$B$6:$B$55,((DATE($C$6,$B$6,1)-WEEKDAY(DATE($C$6,$B$6,1),2)+1)+11)),"#,##0")&amp;" due",""))))</f>
      </c>
      <c r="J12" s="104">
        <f>IF(MONTH(((DATE($C$6,$B$6,1)-WEEKDAY(DATE($C$6,$B$6,1),2)+1)+12))&lt;&gt;$B$6,"",IF(((DATE($C$6,$B$6,1)-WEEKDAY(DATE($C$6,$B$6,1),2)+1)+12)=INT(Setup!$C$7),"WEDDING DAY",TRIM(IFERROR(INDEX(Checklist!$C$6:$C$51,MATCH(((DATE($C$6,$B$6,1)-WEEKDAY(DATE($C$6,$B$6,1),2)+1)+12),Checklist!$F$6:$F$51,0)),"")&amp;IF(SUMIFS('Payment Schedule'!$E$6:$E$55,'Payment Schedule'!$B$6:$B$55,((DATE($C$6,$B$6,1)-WEEKDAY(DATE($C$6,$B$6,1),2)+1)+12))&gt;0," "&amp;Setup!$C$8&amp;TEXT(SUMIFS('Payment Schedule'!$E$6:$E$55,'Payment Schedule'!$B$6:$B$55,((DATE($C$6,$B$6,1)-WEEKDAY(DATE($C$6,$B$6,1),2)+1)+12)),"#,##0")&amp;" due",""))))</f>
      </c>
      <c r="K12" s="104">
        <f>IF(MONTH(((DATE($C$6,$B$6,1)-WEEKDAY(DATE($C$6,$B$6,1),2)+1)+13))&lt;&gt;$B$6,"",IF(((DATE($C$6,$B$6,1)-WEEKDAY(DATE($C$6,$B$6,1),2)+1)+13)=INT(Setup!$C$7),"WEDDING DAY",TRIM(IFERROR(INDEX(Checklist!$C$6:$C$51,MATCH(((DATE($C$6,$B$6,1)-WEEKDAY(DATE($C$6,$B$6,1),2)+1)+13),Checklist!$F$6:$F$51,0)),"")&amp;IF(SUMIFS('Payment Schedule'!$E$6:$E$55,'Payment Schedule'!$B$6:$B$55,((DATE($C$6,$B$6,1)-WEEKDAY(DATE($C$6,$B$6,1),2)+1)+13))&gt;0," "&amp;Setup!$C$8&amp;TEXT(SUMIFS('Payment Schedule'!$E$6:$E$55,'Payment Schedule'!$B$6:$B$55,((DATE($C$6,$B$6,1)-WEEKDAY(DATE($C$6,$B$6,1),2)+1)+13)),"#,##0")&amp;" due",""))))</f>
      </c>
      <c r="L12" s="1"/>
      <c r="M12" s="1"/>
      <c r="N12" s="1"/>
      <c r="O12" s="1"/>
      <c r="P12" s="1"/>
      <c r="Q12" s="1"/>
      <c r="R12" s="1"/>
    </row>
    <row r="13" ht="16" customHeight="1" spans="1:18" x14ac:dyDescent="0.25">
      <c r="A13" s="1"/>
      <c r="B13" s="1"/>
      <c r="C13" s="1"/>
      <c r="D13" s="1"/>
      <c r="E13" s="103">
        <f>IF(MONTH(((DATE($C$6,$B$6,1)-WEEKDAY(DATE($C$6,$B$6,1),2)+1)+14))=$B$6,DAY(((DATE($C$6,$B$6,1)-WEEKDAY(DATE($C$6,$B$6,1),2)+1)+14)),"")</f>
      </c>
      <c r="F13" s="103">
        <f>IF(MONTH(((DATE($C$6,$B$6,1)-WEEKDAY(DATE($C$6,$B$6,1),2)+1)+15))=$B$6,DAY(((DATE($C$6,$B$6,1)-WEEKDAY(DATE($C$6,$B$6,1),2)+1)+15)),"")</f>
      </c>
      <c r="G13" s="103">
        <f>IF(MONTH(((DATE($C$6,$B$6,1)-WEEKDAY(DATE($C$6,$B$6,1),2)+1)+16))=$B$6,DAY(((DATE($C$6,$B$6,1)-WEEKDAY(DATE($C$6,$B$6,1),2)+1)+16)),"")</f>
      </c>
      <c r="H13" s="103">
        <f>IF(MONTH(((DATE($C$6,$B$6,1)-WEEKDAY(DATE($C$6,$B$6,1),2)+1)+17))=$B$6,DAY(((DATE($C$6,$B$6,1)-WEEKDAY(DATE($C$6,$B$6,1),2)+1)+17)),"")</f>
      </c>
      <c r="I13" s="103">
        <f>IF(MONTH(((DATE($C$6,$B$6,1)-WEEKDAY(DATE($C$6,$B$6,1),2)+1)+18))=$B$6,DAY(((DATE($C$6,$B$6,1)-WEEKDAY(DATE($C$6,$B$6,1),2)+1)+18)),"")</f>
      </c>
      <c r="J13" s="103">
        <f>IF(MONTH(((DATE($C$6,$B$6,1)-WEEKDAY(DATE($C$6,$B$6,1),2)+1)+19))=$B$6,DAY(((DATE($C$6,$B$6,1)-WEEKDAY(DATE($C$6,$B$6,1),2)+1)+19)),"")</f>
      </c>
      <c r="K13" s="103">
        <f>IF(MONTH(((DATE($C$6,$B$6,1)-WEEKDAY(DATE($C$6,$B$6,1),2)+1)+20))=$B$6,DAY(((DATE($C$6,$B$6,1)-WEEKDAY(DATE($C$6,$B$6,1),2)+1)+20)),"")</f>
      </c>
      <c r="L13" s="1"/>
      <c r="M13" s="1"/>
      <c r="N13" s="1"/>
      <c r="O13" s="1"/>
      <c r="P13" s="1"/>
      <c r="Q13" s="1"/>
      <c r="R13" s="1"/>
    </row>
    <row r="14" ht="34" customHeight="1" spans="1:18" x14ac:dyDescent="0.25">
      <c r="A14" s="1"/>
      <c r="B14" s="1"/>
      <c r="C14" s="1"/>
      <c r="D14" s="1"/>
      <c r="E14" s="104">
        <f>IF(MONTH(((DATE($C$6,$B$6,1)-WEEKDAY(DATE($C$6,$B$6,1),2)+1)+14))&lt;&gt;$B$6,"",IF(((DATE($C$6,$B$6,1)-WEEKDAY(DATE($C$6,$B$6,1),2)+1)+14)=INT(Setup!$C$7),"WEDDING DAY",TRIM(IFERROR(INDEX(Checklist!$C$6:$C$51,MATCH(((DATE($C$6,$B$6,1)-WEEKDAY(DATE($C$6,$B$6,1),2)+1)+14),Checklist!$F$6:$F$51,0)),"")&amp;IF(SUMIFS('Payment Schedule'!$E$6:$E$55,'Payment Schedule'!$B$6:$B$55,((DATE($C$6,$B$6,1)-WEEKDAY(DATE($C$6,$B$6,1),2)+1)+14))&gt;0," "&amp;Setup!$C$8&amp;TEXT(SUMIFS('Payment Schedule'!$E$6:$E$55,'Payment Schedule'!$B$6:$B$55,((DATE($C$6,$B$6,1)-WEEKDAY(DATE($C$6,$B$6,1),2)+1)+14)),"#,##0")&amp;" due",""))))</f>
      </c>
      <c r="F14" s="104">
        <f>IF(MONTH(((DATE($C$6,$B$6,1)-WEEKDAY(DATE($C$6,$B$6,1),2)+1)+15))&lt;&gt;$B$6,"",IF(((DATE($C$6,$B$6,1)-WEEKDAY(DATE($C$6,$B$6,1),2)+1)+15)=INT(Setup!$C$7),"WEDDING DAY",TRIM(IFERROR(INDEX(Checklist!$C$6:$C$51,MATCH(((DATE($C$6,$B$6,1)-WEEKDAY(DATE($C$6,$B$6,1),2)+1)+15),Checklist!$F$6:$F$51,0)),"")&amp;IF(SUMIFS('Payment Schedule'!$E$6:$E$55,'Payment Schedule'!$B$6:$B$55,((DATE($C$6,$B$6,1)-WEEKDAY(DATE($C$6,$B$6,1),2)+1)+15))&gt;0," "&amp;Setup!$C$8&amp;TEXT(SUMIFS('Payment Schedule'!$E$6:$E$55,'Payment Schedule'!$B$6:$B$55,((DATE($C$6,$B$6,1)-WEEKDAY(DATE($C$6,$B$6,1),2)+1)+15)),"#,##0")&amp;" due",""))))</f>
      </c>
      <c r="G14" s="104">
        <f>IF(MONTH(((DATE($C$6,$B$6,1)-WEEKDAY(DATE($C$6,$B$6,1),2)+1)+16))&lt;&gt;$B$6,"",IF(((DATE($C$6,$B$6,1)-WEEKDAY(DATE($C$6,$B$6,1),2)+1)+16)=INT(Setup!$C$7),"WEDDING DAY",TRIM(IFERROR(INDEX(Checklist!$C$6:$C$51,MATCH(((DATE($C$6,$B$6,1)-WEEKDAY(DATE($C$6,$B$6,1),2)+1)+16),Checklist!$F$6:$F$51,0)),"")&amp;IF(SUMIFS('Payment Schedule'!$E$6:$E$55,'Payment Schedule'!$B$6:$B$55,((DATE($C$6,$B$6,1)-WEEKDAY(DATE($C$6,$B$6,1),2)+1)+16))&gt;0," "&amp;Setup!$C$8&amp;TEXT(SUMIFS('Payment Schedule'!$E$6:$E$55,'Payment Schedule'!$B$6:$B$55,((DATE($C$6,$B$6,1)-WEEKDAY(DATE($C$6,$B$6,1),2)+1)+16)),"#,##0")&amp;" due",""))))</f>
      </c>
      <c r="H14" s="104">
        <f>IF(MONTH(((DATE($C$6,$B$6,1)-WEEKDAY(DATE($C$6,$B$6,1),2)+1)+17))&lt;&gt;$B$6,"",IF(((DATE($C$6,$B$6,1)-WEEKDAY(DATE($C$6,$B$6,1),2)+1)+17)=INT(Setup!$C$7),"WEDDING DAY",TRIM(IFERROR(INDEX(Checklist!$C$6:$C$51,MATCH(((DATE($C$6,$B$6,1)-WEEKDAY(DATE($C$6,$B$6,1),2)+1)+17),Checklist!$F$6:$F$51,0)),"")&amp;IF(SUMIFS('Payment Schedule'!$E$6:$E$55,'Payment Schedule'!$B$6:$B$55,((DATE($C$6,$B$6,1)-WEEKDAY(DATE($C$6,$B$6,1),2)+1)+17))&gt;0," "&amp;Setup!$C$8&amp;TEXT(SUMIFS('Payment Schedule'!$E$6:$E$55,'Payment Schedule'!$B$6:$B$55,((DATE($C$6,$B$6,1)-WEEKDAY(DATE($C$6,$B$6,1),2)+1)+17)),"#,##0")&amp;" due",""))))</f>
      </c>
      <c r="I14" s="104">
        <f>IF(MONTH(((DATE($C$6,$B$6,1)-WEEKDAY(DATE($C$6,$B$6,1),2)+1)+18))&lt;&gt;$B$6,"",IF(((DATE($C$6,$B$6,1)-WEEKDAY(DATE($C$6,$B$6,1),2)+1)+18)=INT(Setup!$C$7),"WEDDING DAY",TRIM(IFERROR(INDEX(Checklist!$C$6:$C$51,MATCH(((DATE($C$6,$B$6,1)-WEEKDAY(DATE($C$6,$B$6,1),2)+1)+18),Checklist!$F$6:$F$51,0)),"")&amp;IF(SUMIFS('Payment Schedule'!$E$6:$E$55,'Payment Schedule'!$B$6:$B$55,((DATE($C$6,$B$6,1)-WEEKDAY(DATE($C$6,$B$6,1),2)+1)+18))&gt;0," "&amp;Setup!$C$8&amp;TEXT(SUMIFS('Payment Schedule'!$E$6:$E$55,'Payment Schedule'!$B$6:$B$55,((DATE($C$6,$B$6,1)-WEEKDAY(DATE($C$6,$B$6,1),2)+1)+18)),"#,##0")&amp;" due",""))))</f>
      </c>
      <c r="J14" s="104">
        <f>IF(MONTH(((DATE($C$6,$B$6,1)-WEEKDAY(DATE($C$6,$B$6,1),2)+1)+19))&lt;&gt;$B$6,"",IF(((DATE($C$6,$B$6,1)-WEEKDAY(DATE($C$6,$B$6,1),2)+1)+19)=INT(Setup!$C$7),"WEDDING DAY",TRIM(IFERROR(INDEX(Checklist!$C$6:$C$51,MATCH(((DATE($C$6,$B$6,1)-WEEKDAY(DATE($C$6,$B$6,1),2)+1)+19),Checklist!$F$6:$F$51,0)),"")&amp;IF(SUMIFS('Payment Schedule'!$E$6:$E$55,'Payment Schedule'!$B$6:$B$55,((DATE($C$6,$B$6,1)-WEEKDAY(DATE($C$6,$B$6,1),2)+1)+19))&gt;0," "&amp;Setup!$C$8&amp;TEXT(SUMIFS('Payment Schedule'!$E$6:$E$55,'Payment Schedule'!$B$6:$B$55,((DATE($C$6,$B$6,1)-WEEKDAY(DATE($C$6,$B$6,1),2)+1)+19)),"#,##0")&amp;" due",""))))</f>
      </c>
      <c r="K14" s="104">
        <f>IF(MONTH(((DATE($C$6,$B$6,1)-WEEKDAY(DATE($C$6,$B$6,1),2)+1)+20))&lt;&gt;$B$6,"",IF(((DATE($C$6,$B$6,1)-WEEKDAY(DATE($C$6,$B$6,1),2)+1)+20)=INT(Setup!$C$7),"WEDDING DAY",TRIM(IFERROR(INDEX(Checklist!$C$6:$C$51,MATCH(((DATE($C$6,$B$6,1)-WEEKDAY(DATE($C$6,$B$6,1),2)+1)+20),Checklist!$F$6:$F$51,0)),"")&amp;IF(SUMIFS('Payment Schedule'!$E$6:$E$55,'Payment Schedule'!$B$6:$B$55,((DATE($C$6,$B$6,1)-WEEKDAY(DATE($C$6,$B$6,1),2)+1)+20))&gt;0," "&amp;Setup!$C$8&amp;TEXT(SUMIFS('Payment Schedule'!$E$6:$E$55,'Payment Schedule'!$B$6:$B$55,((DATE($C$6,$B$6,1)-WEEKDAY(DATE($C$6,$B$6,1),2)+1)+20)),"#,##0")&amp;" due",""))))</f>
      </c>
      <c r="L14" s="1"/>
      <c r="M14" s="1"/>
      <c r="N14" s="1"/>
      <c r="O14" s="1"/>
      <c r="P14" s="1"/>
      <c r="Q14" s="1"/>
      <c r="R14" s="1"/>
    </row>
    <row r="15" ht="16" customHeight="1" spans="1:18" x14ac:dyDescent="0.25">
      <c r="A15" s="1"/>
      <c r="B15" s="1"/>
      <c r="C15" s="1"/>
      <c r="D15" s="1"/>
      <c r="E15" s="103">
        <f>IF(MONTH(((DATE($C$6,$B$6,1)-WEEKDAY(DATE($C$6,$B$6,1),2)+1)+21))=$B$6,DAY(((DATE($C$6,$B$6,1)-WEEKDAY(DATE($C$6,$B$6,1),2)+1)+21)),"")</f>
      </c>
      <c r="F15" s="103">
        <f>IF(MONTH(((DATE($C$6,$B$6,1)-WEEKDAY(DATE($C$6,$B$6,1),2)+1)+22))=$B$6,DAY(((DATE($C$6,$B$6,1)-WEEKDAY(DATE($C$6,$B$6,1),2)+1)+22)),"")</f>
      </c>
      <c r="G15" s="103">
        <f>IF(MONTH(((DATE($C$6,$B$6,1)-WEEKDAY(DATE($C$6,$B$6,1),2)+1)+23))=$B$6,DAY(((DATE($C$6,$B$6,1)-WEEKDAY(DATE($C$6,$B$6,1),2)+1)+23)),"")</f>
      </c>
      <c r="H15" s="103">
        <f>IF(MONTH(((DATE($C$6,$B$6,1)-WEEKDAY(DATE($C$6,$B$6,1),2)+1)+24))=$B$6,DAY(((DATE($C$6,$B$6,1)-WEEKDAY(DATE($C$6,$B$6,1),2)+1)+24)),"")</f>
      </c>
      <c r="I15" s="103">
        <f>IF(MONTH(((DATE($C$6,$B$6,1)-WEEKDAY(DATE($C$6,$B$6,1),2)+1)+25))=$B$6,DAY(((DATE($C$6,$B$6,1)-WEEKDAY(DATE($C$6,$B$6,1),2)+1)+25)),"")</f>
      </c>
      <c r="J15" s="103">
        <f>IF(MONTH(((DATE($C$6,$B$6,1)-WEEKDAY(DATE($C$6,$B$6,1),2)+1)+26))=$B$6,DAY(((DATE($C$6,$B$6,1)-WEEKDAY(DATE($C$6,$B$6,1),2)+1)+26)),"")</f>
      </c>
      <c r="K15" s="103">
        <f>IF(MONTH(((DATE($C$6,$B$6,1)-WEEKDAY(DATE($C$6,$B$6,1),2)+1)+27))=$B$6,DAY(((DATE($C$6,$B$6,1)-WEEKDAY(DATE($C$6,$B$6,1),2)+1)+27)),"")</f>
      </c>
      <c r="L15" s="1"/>
      <c r="M15" s="1"/>
      <c r="N15" s="1"/>
      <c r="O15" s="1"/>
      <c r="P15" s="1"/>
      <c r="Q15" s="1"/>
      <c r="R15" s="1"/>
    </row>
    <row r="16" ht="34" customHeight="1" spans="1:18" x14ac:dyDescent="0.25">
      <c r="A16" s="1"/>
      <c r="B16" s="1"/>
      <c r="C16" s="1"/>
      <c r="D16" s="1"/>
      <c r="E16" s="104">
        <f>IF(MONTH(((DATE($C$6,$B$6,1)-WEEKDAY(DATE($C$6,$B$6,1),2)+1)+21))&lt;&gt;$B$6,"",IF(((DATE($C$6,$B$6,1)-WEEKDAY(DATE($C$6,$B$6,1),2)+1)+21)=INT(Setup!$C$7),"WEDDING DAY",TRIM(IFERROR(INDEX(Checklist!$C$6:$C$51,MATCH(((DATE($C$6,$B$6,1)-WEEKDAY(DATE($C$6,$B$6,1),2)+1)+21),Checklist!$F$6:$F$51,0)),"")&amp;IF(SUMIFS('Payment Schedule'!$E$6:$E$55,'Payment Schedule'!$B$6:$B$55,((DATE($C$6,$B$6,1)-WEEKDAY(DATE($C$6,$B$6,1),2)+1)+21))&gt;0," "&amp;Setup!$C$8&amp;TEXT(SUMIFS('Payment Schedule'!$E$6:$E$55,'Payment Schedule'!$B$6:$B$55,((DATE($C$6,$B$6,1)-WEEKDAY(DATE($C$6,$B$6,1),2)+1)+21)),"#,##0")&amp;" due",""))))</f>
      </c>
      <c r="F16" s="104">
        <f>IF(MONTH(((DATE($C$6,$B$6,1)-WEEKDAY(DATE($C$6,$B$6,1),2)+1)+22))&lt;&gt;$B$6,"",IF(((DATE($C$6,$B$6,1)-WEEKDAY(DATE($C$6,$B$6,1),2)+1)+22)=INT(Setup!$C$7),"WEDDING DAY",TRIM(IFERROR(INDEX(Checklist!$C$6:$C$51,MATCH(((DATE($C$6,$B$6,1)-WEEKDAY(DATE($C$6,$B$6,1),2)+1)+22),Checklist!$F$6:$F$51,0)),"")&amp;IF(SUMIFS('Payment Schedule'!$E$6:$E$55,'Payment Schedule'!$B$6:$B$55,((DATE($C$6,$B$6,1)-WEEKDAY(DATE($C$6,$B$6,1),2)+1)+22))&gt;0," "&amp;Setup!$C$8&amp;TEXT(SUMIFS('Payment Schedule'!$E$6:$E$55,'Payment Schedule'!$B$6:$B$55,((DATE($C$6,$B$6,1)-WEEKDAY(DATE($C$6,$B$6,1),2)+1)+22)),"#,##0")&amp;" due",""))))</f>
      </c>
      <c r="G16" s="104">
        <f>IF(MONTH(((DATE($C$6,$B$6,1)-WEEKDAY(DATE($C$6,$B$6,1),2)+1)+23))&lt;&gt;$B$6,"",IF(((DATE($C$6,$B$6,1)-WEEKDAY(DATE($C$6,$B$6,1),2)+1)+23)=INT(Setup!$C$7),"WEDDING DAY",TRIM(IFERROR(INDEX(Checklist!$C$6:$C$51,MATCH(((DATE($C$6,$B$6,1)-WEEKDAY(DATE($C$6,$B$6,1),2)+1)+23),Checklist!$F$6:$F$51,0)),"")&amp;IF(SUMIFS('Payment Schedule'!$E$6:$E$55,'Payment Schedule'!$B$6:$B$55,((DATE($C$6,$B$6,1)-WEEKDAY(DATE($C$6,$B$6,1),2)+1)+23))&gt;0," "&amp;Setup!$C$8&amp;TEXT(SUMIFS('Payment Schedule'!$E$6:$E$55,'Payment Schedule'!$B$6:$B$55,((DATE($C$6,$B$6,1)-WEEKDAY(DATE($C$6,$B$6,1),2)+1)+23)),"#,##0")&amp;" due",""))))</f>
      </c>
      <c r="H16" s="104">
        <f>IF(MONTH(((DATE($C$6,$B$6,1)-WEEKDAY(DATE($C$6,$B$6,1),2)+1)+24))&lt;&gt;$B$6,"",IF(((DATE($C$6,$B$6,1)-WEEKDAY(DATE($C$6,$B$6,1),2)+1)+24)=INT(Setup!$C$7),"WEDDING DAY",TRIM(IFERROR(INDEX(Checklist!$C$6:$C$51,MATCH(((DATE($C$6,$B$6,1)-WEEKDAY(DATE($C$6,$B$6,1),2)+1)+24),Checklist!$F$6:$F$51,0)),"")&amp;IF(SUMIFS('Payment Schedule'!$E$6:$E$55,'Payment Schedule'!$B$6:$B$55,((DATE($C$6,$B$6,1)-WEEKDAY(DATE($C$6,$B$6,1),2)+1)+24))&gt;0," "&amp;Setup!$C$8&amp;TEXT(SUMIFS('Payment Schedule'!$E$6:$E$55,'Payment Schedule'!$B$6:$B$55,((DATE($C$6,$B$6,1)-WEEKDAY(DATE($C$6,$B$6,1),2)+1)+24)),"#,##0")&amp;" due",""))))</f>
      </c>
      <c r="I16" s="104">
        <f>IF(MONTH(((DATE($C$6,$B$6,1)-WEEKDAY(DATE($C$6,$B$6,1),2)+1)+25))&lt;&gt;$B$6,"",IF(((DATE($C$6,$B$6,1)-WEEKDAY(DATE($C$6,$B$6,1),2)+1)+25)=INT(Setup!$C$7),"WEDDING DAY",TRIM(IFERROR(INDEX(Checklist!$C$6:$C$51,MATCH(((DATE($C$6,$B$6,1)-WEEKDAY(DATE($C$6,$B$6,1),2)+1)+25),Checklist!$F$6:$F$51,0)),"")&amp;IF(SUMIFS('Payment Schedule'!$E$6:$E$55,'Payment Schedule'!$B$6:$B$55,((DATE($C$6,$B$6,1)-WEEKDAY(DATE($C$6,$B$6,1),2)+1)+25))&gt;0," "&amp;Setup!$C$8&amp;TEXT(SUMIFS('Payment Schedule'!$E$6:$E$55,'Payment Schedule'!$B$6:$B$55,((DATE($C$6,$B$6,1)-WEEKDAY(DATE($C$6,$B$6,1),2)+1)+25)),"#,##0")&amp;" due",""))))</f>
      </c>
      <c r="J16" s="104">
        <f>IF(MONTH(((DATE($C$6,$B$6,1)-WEEKDAY(DATE($C$6,$B$6,1),2)+1)+26))&lt;&gt;$B$6,"",IF(((DATE($C$6,$B$6,1)-WEEKDAY(DATE($C$6,$B$6,1),2)+1)+26)=INT(Setup!$C$7),"WEDDING DAY",TRIM(IFERROR(INDEX(Checklist!$C$6:$C$51,MATCH(((DATE($C$6,$B$6,1)-WEEKDAY(DATE($C$6,$B$6,1),2)+1)+26),Checklist!$F$6:$F$51,0)),"")&amp;IF(SUMIFS('Payment Schedule'!$E$6:$E$55,'Payment Schedule'!$B$6:$B$55,((DATE($C$6,$B$6,1)-WEEKDAY(DATE($C$6,$B$6,1),2)+1)+26))&gt;0," "&amp;Setup!$C$8&amp;TEXT(SUMIFS('Payment Schedule'!$E$6:$E$55,'Payment Schedule'!$B$6:$B$55,((DATE($C$6,$B$6,1)-WEEKDAY(DATE($C$6,$B$6,1),2)+1)+26)),"#,##0")&amp;" due",""))))</f>
      </c>
      <c r="K16" s="104">
        <f>IF(MONTH(((DATE($C$6,$B$6,1)-WEEKDAY(DATE($C$6,$B$6,1),2)+1)+27))&lt;&gt;$B$6,"",IF(((DATE($C$6,$B$6,1)-WEEKDAY(DATE($C$6,$B$6,1),2)+1)+27)=INT(Setup!$C$7),"WEDDING DAY",TRIM(IFERROR(INDEX(Checklist!$C$6:$C$51,MATCH(((DATE($C$6,$B$6,1)-WEEKDAY(DATE($C$6,$B$6,1),2)+1)+27),Checklist!$F$6:$F$51,0)),"")&amp;IF(SUMIFS('Payment Schedule'!$E$6:$E$55,'Payment Schedule'!$B$6:$B$55,((DATE($C$6,$B$6,1)-WEEKDAY(DATE($C$6,$B$6,1),2)+1)+27))&gt;0," "&amp;Setup!$C$8&amp;TEXT(SUMIFS('Payment Schedule'!$E$6:$E$55,'Payment Schedule'!$B$6:$B$55,((DATE($C$6,$B$6,1)-WEEKDAY(DATE($C$6,$B$6,1),2)+1)+27)),"#,##0")&amp;" due",""))))</f>
      </c>
      <c r="L16" s="1"/>
      <c r="M16" s="1"/>
      <c r="N16" s="1"/>
      <c r="O16" s="1"/>
      <c r="P16" s="1"/>
      <c r="Q16" s="1"/>
      <c r="R16" s="1"/>
    </row>
    <row r="17" ht="16" customHeight="1" spans="1:18" x14ac:dyDescent="0.25">
      <c r="A17" s="1"/>
      <c r="B17" s="1"/>
      <c r="C17" s="1"/>
      <c r="D17" s="1"/>
      <c r="E17" s="103">
        <f>IF(MONTH(((DATE($C$6,$B$6,1)-WEEKDAY(DATE($C$6,$B$6,1),2)+1)+28))=$B$6,DAY(((DATE($C$6,$B$6,1)-WEEKDAY(DATE($C$6,$B$6,1),2)+1)+28)),"")</f>
      </c>
      <c r="F17" s="103">
        <f>IF(MONTH(((DATE($C$6,$B$6,1)-WEEKDAY(DATE($C$6,$B$6,1),2)+1)+29))=$B$6,DAY(((DATE($C$6,$B$6,1)-WEEKDAY(DATE($C$6,$B$6,1),2)+1)+29)),"")</f>
      </c>
      <c r="G17" s="103">
        <f>IF(MONTH(((DATE($C$6,$B$6,1)-WEEKDAY(DATE($C$6,$B$6,1),2)+1)+30))=$B$6,DAY(((DATE($C$6,$B$6,1)-WEEKDAY(DATE($C$6,$B$6,1),2)+1)+30)),"")</f>
      </c>
      <c r="H17" s="103">
        <f>IF(MONTH(((DATE($C$6,$B$6,1)-WEEKDAY(DATE($C$6,$B$6,1),2)+1)+31))=$B$6,DAY(((DATE($C$6,$B$6,1)-WEEKDAY(DATE($C$6,$B$6,1),2)+1)+31)),"")</f>
      </c>
      <c r="I17" s="103">
        <f>IF(MONTH(((DATE($C$6,$B$6,1)-WEEKDAY(DATE($C$6,$B$6,1),2)+1)+32))=$B$6,DAY(((DATE($C$6,$B$6,1)-WEEKDAY(DATE($C$6,$B$6,1),2)+1)+32)),"")</f>
      </c>
      <c r="J17" s="103">
        <f>IF(MONTH(((DATE($C$6,$B$6,1)-WEEKDAY(DATE($C$6,$B$6,1),2)+1)+33))=$B$6,DAY(((DATE($C$6,$B$6,1)-WEEKDAY(DATE($C$6,$B$6,1),2)+1)+33)),"")</f>
      </c>
      <c r="K17" s="103">
        <f>IF(MONTH(((DATE($C$6,$B$6,1)-WEEKDAY(DATE($C$6,$B$6,1),2)+1)+34))=$B$6,DAY(((DATE($C$6,$B$6,1)-WEEKDAY(DATE($C$6,$B$6,1),2)+1)+34)),"")</f>
      </c>
      <c r="L17" s="1"/>
      <c r="M17" s="1"/>
      <c r="N17" s="1"/>
      <c r="O17" s="1"/>
      <c r="P17" s="1"/>
      <c r="Q17" s="1"/>
      <c r="R17" s="1"/>
    </row>
    <row r="18" ht="34" customHeight="1" spans="1:18" x14ac:dyDescent="0.25">
      <c r="A18" s="1"/>
      <c r="B18" s="1"/>
      <c r="C18" s="1"/>
      <c r="D18" s="1"/>
      <c r="E18" s="104">
        <f>IF(MONTH(((DATE($C$6,$B$6,1)-WEEKDAY(DATE($C$6,$B$6,1),2)+1)+28))&lt;&gt;$B$6,"",IF(((DATE($C$6,$B$6,1)-WEEKDAY(DATE($C$6,$B$6,1),2)+1)+28)=INT(Setup!$C$7),"WEDDING DAY",TRIM(IFERROR(INDEX(Checklist!$C$6:$C$51,MATCH(((DATE($C$6,$B$6,1)-WEEKDAY(DATE($C$6,$B$6,1),2)+1)+28),Checklist!$F$6:$F$51,0)),"")&amp;IF(SUMIFS('Payment Schedule'!$E$6:$E$55,'Payment Schedule'!$B$6:$B$55,((DATE($C$6,$B$6,1)-WEEKDAY(DATE($C$6,$B$6,1),2)+1)+28))&gt;0," "&amp;Setup!$C$8&amp;TEXT(SUMIFS('Payment Schedule'!$E$6:$E$55,'Payment Schedule'!$B$6:$B$55,((DATE($C$6,$B$6,1)-WEEKDAY(DATE($C$6,$B$6,1),2)+1)+28)),"#,##0")&amp;" due",""))))</f>
      </c>
      <c r="F18" s="104">
        <f>IF(MONTH(((DATE($C$6,$B$6,1)-WEEKDAY(DATE($C$6,$B$6,1),2)+1)+29))&lt;&gt;$B$6,"",IF(((DATE($C$6,$B$6,1)-WEEKDAY(DATE($C$6,$B$6,1),2)+1)+29)=INT(Setup!$C$7),"WEDDING DAY",TRIM(IFERROR(INDEX(Checklist!$C$6:$C$51,MATCH(((DATE($C$6,$B$6,1)-WEEKDAY(DATE($C$6,$B$6,1),2)+1)+29),Checklist!$F$6:$F$51,0)),"")&amp;IF(SUMIFS('Payment Schedule'!$E$6:$E$55,'Payment Schedule'!$B$6:$B$55,((DATE($C$6,$B$6,1)-WEEKDAY(DATE($C$6,$B$6,1),2)+1)+29))&gt;0," "&amp;Setup!$C$8&amp;TEXT(SUMIFS('Payment Schedule'!$E$6:$E$55,'Payment Schedule'!$B$6:$B$55,((DATE($C$6,$B$6,1)-WEEKDAY(DATE($C$6,$B$6,1),2)+1)+29)),"#,##0")&amp;" due",""))))</f>
      </c>
      <c r="G18" s="104">
        <f>IF(MONTH(((DATE($C$6,$B$6,1)-WEEKDAY(DATE($C$6,$B$6,1),2)+1)+30))&lt;&gt;$B$6,"",IF(((DATE($C$6,$B$6,1)-WEEKDAY(DATE($C$6,$B$6,1),2)+1)+30)=INT(Setup!$C$7),"WEDDING DAY",TRIM(IFERROR(INDEX(Checklist!$C$6:$C$51,MATCH(((DATE($C$6,$B$6,1)-WEEKDAY(DATE($C$6,$B$6,1),2)+1)+30),Checklist!$F$6:$F$51,0)),"")&amp;IF(SUMIFS('Payment Schedule'!$E$6:$E$55,'Payment Schedule'!$B$6:$B$55,((DATE($C$6,$B$6,1)-WEEKDAY(DATE($C$6,$B$6,1),2)+1)+30))&gt;0," "&amp;Setup!$C$8&amp;TEXT(SUMIFS('Payment Schedule'!$E$6:$E$55,'Payment Schedule'!$B$6:$B$55,((DATE($C$6,$B$6,1)-WEEKDAY(DATE($C$6,$B$6,1),2)+1)+30)),"#,##0")&amp;" due",""))))</f>
      </c>
      <c r="H18" s="104">
        <f>IF(MONTH(((DATE($C$6,$B$6,1)-WEEKDAY(DATE($C$6,$B$6,1),2)+1)+31))&lt;&gt;$B$6,"",IF(((DATE($C$6,$B$6,1)-WEEKDAY(DATE($C$6,$B$6,1),2)+1)+31)=INT(Setup!$C$7),"WEDDING DAY",TRIM(IFERROR(INDEX(Checklist!$C$6:$C$51,MATCH(((DATE($C$6,$B$6,1)-WEEKDAY(DATE($C$6,$B$6,1),2)+1)+31),Checklist!$F$6:$F$51,0)),"")&amp;IF(SUMIFS('Payment Schedule'!$E$6:$E$55,'Payment Schedule'!$B$6:$B$55,((DATE($C$6,$B$6,1)-WEEKDAY(DATE($C$6,$B$6,1),2)+1)+31))&gt;0," "&amp;Setup!$C$8&amp;TEXT(SUMIFS('Payment Schedule'!$E$6:$E$55,'Payment Schedule'!$B$6:$B$55,((DATE($C$6,$B$6,1)-WEEKDAY(DATE($C$6,$B$6,1),2)+1)+31)),"#,##0")&amp;" due",""))))</f>
      </c>
      <c r="I18" s="104">
        <f>IF(MONTH(((DATE($C$6,$B$6,1)-WEEKDAY(DATE($C$6,$B$6,1),2)+1)+32))&lt;&gt;$B$6,"",IF(((DATE($C$6,$B$6,1)-WEEKDAY(DATE($C$6,$B$6,1),2)+1)+32)=INT(Setup!$C$7),"WEDDING DAY",TRIM(IFERROR(INDEX(Checklist!$C$6:$C$51,MATCH(((DATE($C$6,$B$6,1)-WEEKDAY(DATE($C$6,$B$6,1),2)+1)+32),Checklist!$F$6:$F$51,0)),"")&amp;IF(SUMIFS('Payment Schedule'!$E$6:$E$55,'Payment Schedule'!$B$6:$B$55,((DATE($C$6,$B$6,1)-WEEKDAY(DATE($C$6,$B$6,1),2)+1)+32))&gt;0," "&amp;Setup!$C$8&amp;TEXT(SUMIFS('Payment Schedule'!$E$6:$E$55,'Payment Schedule'!$B$6:$B$55,((DATE($C$6,$B$6,1)-WEEKDAY(DATE($C$6,$B$6,1),2)+1)+32)),"#,##0")&amp;" due",""))))</f>
      </c>
      <c r="J18" s="104">
        <f>IF(MONTH(((DATE($C$6,$B$6,1)-WEEKDAY(DATE($C$6,$B$6,1),2)+1)+33))&lt;&gt;$B$6,"",IF(((DATE($C$6,$B$6,1)-WEEKDAY(DATE($C$6,$B$6,1),2)+1)+33)=INT(Setup!$C$7),"WEDDING DAY",TRIM(IFERROR(INDEX(Checklist!$C$6:$C$51,MATCH(((DATE($C$6,$B$6,1)-WEEKDAY(DATE($C$6,$B$6,1),2)+1)+33),Checklist!$F$6:$F$51,0)),"")&amp;IF(SUMIFS('Payment Schedule'!$E$6:$E$55,'Payment Schedule'!$B$6:$B$55,((DATE($C$6,$B$6,1)-WEEKDAY(DATE($C$6,$B$6,1),2)+1)+33))&gt;0," "&amp;Setup!$C$8&amp;TEXT(SUMIFS('Payment Schedule'!$E$6:$E$55,'Payment Schedule'!$B$6:$B$55,((DATE($C$6,$B$6,1)-WEEKDAY(DATE($C$6,$B$6,1),2)+1)+33)),"#,##0")&amp;" due",""))))</f>
      </c>
      <c r="K18" s="104">
        <f>IF(MONTH(((DATE($C$6,$B$6,1)-WEEKDAY(DATE($C$6,$B$6,1),2)+1)+34))&lt;&gt;$B$6,"",IF(((DATE($C$6,$B$6,1)-WEEKDAY(DATE($C$6,$B$6,1),2)+1)+34)=INT(Setup!$C$7),"WEDDING DAY",TRIM(IFERROR(INDEX(Checklist!$C$6:$C$51,MATCH(((DATE($C$6,$B$6,1)-WEEKDAY(DATE($C$6,$B$6,1),2)+1)+34),Checklist!$F$6:$F$51,0)),"")&amp;IF(SUMIFS('Payment Schedule'!$E$6:$E$55,'Payment Schedule'!$B$6:$B$55,((DATE($C$6,$B$6,1)-WEEKDAY(DATE($C$6,$B$6,1),2)+1)+34))&gt;0," "&amp;Setup!$C$8&amp;TEXT(SUMIFS('Payment Schedule'!$E$6:$E$55,'Payment Schedule'!$B$6:$B$55,((DATE($C$6,$B$6,1)-WEEKDAY(DATE($C$6,$B$6,1),2)+1)+34)),"#,##0")&amp;" due",""))))</f>
      </c>
      <c r="L18" s="1"/>
      <c r="M18" s="1"/>
      <c r="N18" s="1"/>
      <c r="O18" s="1"/>
      <c r="P18" s="1"/>
      <c r="Q18" s="1"/>
      <c r="R18" s="1"/>
    </row>
    <row r="19" ht="16" customHeight="1" spans="1:18" x14ac:dyDescent="0.25">
      <c r="A19" s="1"/>
      <c r="B19" s="1"/>
      <c r="C19" s="1"/>
      <c r="D19" s="1"/>
      <c r="E19" s="103">
        <f>IF(MONTH(((DATE($C$6,$B$6,1)-WEEKDAY(DATE($C$6,$B$6,1),2)+1)+35))=$B$6,DAY(((DATE($C$6,$B$6,1)-WEEKDAY(DATE($C$6,$B$6,1),2)+1)+35)),"")</f>
      </c>
      <c r="F19" s="103">
        <f>IF(MONTH(((DATE($C$6,$B$6,1)-WEEKDAY(DATE($C$6,$B$6,1),2)+1)+36))=$B$6,DAY(((DATE($C$6,$B$6,1)-WEEKDAY(DATE($C$6,$B$6,1),2)+1)+36)),"")</f>
      </c>
      <c r="G19" s="103">
        <f>IF(MONTH(((DATE($C$6,$B$6,1)-WEEKDAY(DATE($C$6,$B$6,1),2)+1)+37))=$B$6,DAY(((DATE($C$6,$B$6,1)-WEEKDAY(DATE($C$6,$B$6,1),2)+1)+37)),"")</f>
      </c>
      <c r="H19" s="103">
        <f>IF(MONTH(((DATE($C$6,$B$6,1)-WEEKDAY(DATE($C$6,$B$6,1),2)+1)+38))=$B$6,DAY(((DATE($C$6,$B$6,1)-WEEKDAY(DATE($C$6,$B$6,1),2)+1)+38)),"")</f>
      </c>
      <c r="I19" s="103">
        <f>IF(MONTH(((DATE($C$6,$B$6,1)-WEEKDAY(DATE($C$6,$B$6,1),2)+1)+39))=$B$6,DAY(((DATE($C$6,$B$6,1)-WEEKDAY(DATE($C$6,$B$6,1),2)+1)+39)),"")</f>
      </c>
      <c r="J19" s="103">
        <f>IF(MONTH(((DATE($C$6,$B$6,1)-WEEKDAY(DATE($C$6,$B$6,1),2)+1)+40))=$B$6,DAY(((DATE($C$6,$B$6,1)-WEEKDAY(DATE($C$6,$B$6,1),2)+1)+40)),"")</f>
      </c>
      <c r="K19" s="103">
        <f>IF(MONTH(((DATE($C$6,$B$6,1)-WEEKDAY(DATE($C$6,$B$6,1),2)+1)+41))=$B$6,DAY(((DATE($C$6,$B$6,1)-WEEKDAY(DATE($C$6,$B$6,1),2)+1)+41)),"")</f>
      </c>
      <c r="L19" s="1"/>
      <c r="M19" s="1"/>
      <c r="N19" s="1"/>
      <c r="O19" s="1"/>
      <c r="P19" s="1"/>
      <c r="Q19" s="1"/>
      <c r="R19" s="1"/>
    </row>
    <row r="20" ht="34" customHeight="1" spans="1:18" x14ac:dyDescent="0.25">
      <c r="A20" s="1"/>
      <c r="B20" s="1"/>
      <c r="C20" s="1"/>
      <c r="D20" s="1"/>
      <c r="E20" s="104">
        <f>IF(MONTH(((DATE($C$6,$B$6,1)-WEEKDAY(DATE($C$6,$B$6,1),2)+1)+35))&lt;&gt;$B$6,"",IF(((DATE($C$6,$B$6,1)-WEEKDAY(DATE($C$6,$B$6,1),2)+1)+35)=INT(Setup!$C$7),"WEDDING DAY",TRIM(IFERROR(INDEX(Checklist!$C$6:$C$51,MATCH(((DATE($C$6,$B$6,1)-WEEKDAY(DATE($C$6,$B$6,1),2)+1)+35),Checklist!$F$6:$F$51,0)),"")&amp;IF(SUMIFS('Payment Schedule'!$E$6:$E$55,'Payment Schedule'!$B$6:$B$55,((DATE($C$6,$B$6,1)-WEEKDAY(DATE($C$6,$B$6,1),2)+1)+35))&gt;0," "&amp;Setup!$C$8&amp;TEXT(SUMIFS('Payment Schedule'!$E$6:$E$55,'Payment Schedule'!$B$6:$B$55,((DATE($C$6,$B$6,1)-WEEKDAY(DATE($C$6,$B$6,1),2)+1)+35)),"#,##0")&amp;" due",""))))</f>
      </c>
      <c r="F20" s="104">
        <f>IF(MONTH(((DATE($C$6,$B$6,1)-WEEKDAY(DATE($C$6,$B$6,1),2)+1)+36))&lt;&gt;$B$6,"",IF(((DATE($C$6,$B$6,1)-WEEKDAY(DATE($C$6,$B$6,1),2)+1)+36)=INT(Setup!$C$7),"WEDDING DAY",TRIM(IFERROR(INDEX(Checklist!$C$6:$C$51,MATCH(((DATE($C$6,$B$6,1)-WEEKDAY(DATE($C$6,$B$6,1),2)+1)+36),Checklist!$F$6:$F$51,0)),"")&amp;IF(SUMIFS('Payment Schedule'!$E$6:$E$55,'Payment Schedule'!$B$6:$B$55,((DATE($C$6,$B$6,1)-WEEKDAY(DATE($C$6,$B$6,1),2)+1)+36))&gt;0," "&amp;Setup!$C$8&amp;TEXT(SUMIFS('Payment Schedule'!$E$6:$E$55,'Payment Schedule'!$B$6:$B$55,((DATE($C$6,$B$6,1)-WEEKDAY(DATE($C$6,$B$6,1),2)+1)+36)),"#,##0")&amp;" due",""))))</f>
      </c>
      <c r="G20" s="104">
        <f>IF(MONTH(((DATE($C$6,$B$6,1)-WEEKDAY(DATE($C$6,$B$6,1),2)+1)+37))&lt;&gt;$B$6,"",IF(((DATE($C$6,$B$6,1)-WEEKDAY(DATE($C$6,$B$6,1),2)+1)+37)=INT(Setup!$C$7),"WEDDING DAY",TRIM(IFERROR(INDEX(Checklist!$C$6:$C$51,MATCH(((DATE($C$6,$B$6,1)-WEEKDAY(DATE($C$6,$B$6,1),2)+1)+37),Checklist!$F$6:$F$51,0)),"")&amp;IF(SUMIFS('Payment Schedule'!$E$6:$E$55,'Payment Schedule'!$B$6:$B$55,((DATE($C$6,$B$6,1)-WEEKDAY(DATE($C$6,$B$6,1),2)+1)+37))&gt;0," "&amp;Setup!$C$8&amp;TEXT(SUMIFS('Payment Schedule'!$E$6:$E$55,'Payment Schedule'!$B$6:$B$55,((DATE($C$6,$B$6,1)-WEEKDAY(DATE($C$6,$B$6,1),2)+1)+37)),"#,##0")&amp;" due",""))))</f>
      </c>
      <c r="H20" s="104">
        <f>IF(MONTH(((DATE($C$6,$B$6,1)-WEEKDAY(DATE($C$6,$B$6,1),2)+1)+38))&lt;&gt;$B$6,"",IF(((DATE($C$6,$B$6,1)-WEEKDAY(DATE($C$6,$B$6,1),2)+1)+38)=INT(Setup!$C$7),"WEDDING DAY",TRIM(IFERROR(INDEX(Checklist!$C$6:$C$51,MATCH(((DATE($C$6,$B$6,1)-WEEKDAY(DATE($C$6,$B$6,1),2)+1)+38),Checklist!$F$6:$F$51,0)),"")&amp;IF(SUMIFS('Payment Schedule'!$E$6:$E$55,'Payment Schedule'!$B$6:$B$55,((DATE($C$6,$B$6,1)-WEEKDAY(DATE($C$6,$B$6,1),2)+1)+38))&gt;0," "&amp;Setup!$C$8&amp;TEXT(SUMIFS('Payment Schedule'!$E$6:$E$55,'Payment Schedule'!$B$6:$B$55,((DATE($C$6,$B$6,1)-WEEKDAY(DATE($C$6,$B$6,1),2)+1)+38)),"#,##0")&amp;" due",""))))</f>
      </c>
      <c r="I20" s="104">
        <f>IF(MONTH(((DATE($C$6,$B$6,1)-WEEKDAY(DATE($C$6,$B$6,1),2)+1)+39))&lt;&gt;$B$6,"",IF(((DATE($C$6,$B$6,1)-WEEKDAY(DATE($C$6,$B$6,1),2)+1)+39)=INT(Setup!$C$7),"WEDDING DAY",TRIM(IFERROR(INDEX(Checklist!$C$6:$C$51,MATCH(((DATE($C$6,$B$6,1)-WEEKDAY(DATE($C$6,$B$6,1),2)+1)+39),Checklist!$F$6:$F$51,0)),"")&amp;IF(SUMIFS('Payment Schedule'!$E$6:$E$55,'Payment Schedule'!$B$6:$B$55,((DATE($C$6,$B$6,1)-WEEKDAY(DATE($C$6,$B$6,1),2)+1)+39))&gt;0," "&amp;Setup!$C$8&amp;TEXT(SUMIFS('Payment Schedule'!$E$6:$E$55,'Payment Schedule'!$B$6:$B$55,((DATE($C$6,$B$6,1)-WEEKDAY(DATE($C$6,$B$6,1),2)+1)+39)),"#,##0")&amp;" due",""))))</f>
      </c>
      <c r="J20" s="104">
        <f>IF(MONTH(((DATE($C$6,$B$6,1)-WEEKDAY(DATE($C$6,$B$6,1),2)+1)+40))&lt;&gt;$B$6,"",IF(((DATE($C$6,$B$6,1)-WEEKDAY(DATE($C$6,$B$6,1),2)+1)+40)=INT(Setup!$C$7),"WEDDING DAY",TRIM(IFERROR(INDEX(Checklist!$C$6:$C$51,MATCH(((DATE($C$6,$B$6,1)-WEEKDAY(DATE($C$6,$B$6,1),2)+1)+40),Checklist!$F$6:$F$51,0)),"")&amp;IF(SUMIFS('Payment Schedule'!$E$6:$E$55,'Payment Schedule'!$B$6:$B$55,((DATE($C$6,$B$6,1)-WEEKDAY(DATE($C$6,$B$6,1),2)+1)+40))&gt;0," "&amp;Setup!$C$8&amp;TEXT(SUMIFS('Payment Schedule'!$E$6:$E$55,'Payment Schedule'!$B$6:$B$55,((DATE($C$6,$B$6,1)-WEEKDAY(DATE($C$6,$B$6,1),2)+1)+40)),"#,##0")&amp;" due",""))))</f>
      </c>
      <c r="K20" s="104">
        <f>IF(MONTH(((DATE($C$6,$B$6,1)-WEEKDAY(DATE($C$6,$B$6,1),2)+1)+41))&lt;&gt;$B$6,"",IF(((DATE($C$6,$B$6,1)-WEEKDAY(DATE($C$6,$B$6,1),2)+1)+41)=INT(Setup!$C$7),"WEDDING DAY",TRIM(IFERROR(INDEX(Checklist!$C$6:$C$51,MATCH(((DATE($C$6,$B$6,1)-WEEKDAY(DATE($C$6,$B$6,1),2)+1)+41),Checklist!$F$6:$F$51,0)),"")&amp;IF(SUMIFS('Payment Schedule'!$E$6:$E$55,'Payment Schedule'!$B$6:$B$55,((DATE($C$6,$B$6,1)-WEEKDAY(DATE($C$6,$B$6,1),2)+1)+41))&gt;0," "&amp;Setup!$C$8&amp;TEXT(SUMIFS('Payment Schedule'!$E$6:$E$55,'Payment Schedule'!$B$6:$B$55,((DATE($C$6,$B$6,1)-WEEKDAY(DATE($C$6,$B$6,1),2)+1)+41)),"#,##0")&amp;" due",""))))</f>
      </c>
      <c r="L20" s="1"/>
      <c r="M20" s="1"/>
      <c r="N20" s="1"/>
      <c r="O20" s="1"/>
      <c r="P20" s="1"/>
      <c r="Q20" s="1"/>
      <c r="R20" s="1"/>
    </row>
    <row r="21" spans="1:18" x14ac:dyDescent="0.25">
      <c r="A21" s="1"/>
      <c r="B21" s="1"/>
      <c r="C21" s="1"/>
      <c r="D21" s="1"/>
      <c r="E21" s="1"/>
      <c r="F21" s="1"/>
      <c r="G21" s="1"/>
      <c r="H21" s="1"/>
      <c r="I21" s="1"/>
      <c r="J21" s="1"/>
      <c r="K21" s="1"/>
      <c r="L21" s="1"/>
      <c r="M21" s="1"/>
      <c r="N21" s="1"/>
      <c r="O21" s="1"/>
      <c r="P21" s="1"/>
      <c r="Q21" s="1"/>
      <c r="R21" s="1"/>
    </row>
    <row r="22" spans="1:18" x14ac:dyDescent="0.25">
      <c r="A22" s="1"/>
      <c r="B22" s="1"/>
      <c r="C22" s="1"/>
      <c r="D22" s="1"/>
      <c r="E22" s="1"/>
      <c r="F22" s="1"/>
      <c r="G22" s="1"/>
      <c r="H22" s="1"/>
      <c r="I22" s="1"/>
      <c r="J22" s="1"/>
      <c r="K22" s="1"/>
      <c r="L22" s="1"/>
      <c r="M22" s="105" t="s">
        <v>397</v>
      </c>
      <c r="N22" s="1"/>
      <c r="O22" s="1"/>
      <c r="P22" s="1"/>
      <c r="Q22" s="1"/>
      <c r="R22" s="1"/>
    </row>
    <row r="23" ht="18" customHeight="1" spans="1:18" x14ac:dyDescent="0.25">
      <c r="A23" s="1"/>
      <c r="B23" s="48" t="s">
        <v>398</v>
      </c>
      <c r="C23" s="48"/>
      <c r="D23" s="48"/>
      <c r="E23" s="48"/>
      <c r="F23" s="48"/>
      <c r="G23" s="48"/>
      <c r="H23" s="48"/>
      <c r="I23" s="48"/>
      <c r="J23" s="48"/>
      <c r="K23" s="48"/>
      <c r="L23" s="1"/>
      <c r="M23" s="106" t="s">
        <v>381</v>
      </c>
      <c r="N23" s="1"/>
      <c r="O23" s="1"/>
      <c r="P23" s="1"/>
      <c r="Q23" s="1"/>
      <c r="R23" s="1"/>
    </row>
    <row r="24" spans="1:18" x14ac:dyDescent="0.25">
      <c r="A24" s="1"/>
      <c r="B24" s="1"/>
      <c r="C24" s="1"/>
      <c r="D24" s="1"/>
      <c r="E24" s="1"/>
      <c r="F24" s="1"/>
      <c r="G24" s="1"/>
      <c r="H24" s="1"/>
      <c r="I24" s="1"/>
      <c r="J24" s="1"/>
      <c r="K24" s="1"/>
      <c r="L24" s="1"/>
      <c r="M24" s="107" t="s">
        <v>399</v>
      </c>
      <c r="N24" s="1"/>
      <c r="O24" s="1"/>
      <c r="P24" s="1"/>
      <c r="Q24" s="1"/>
      <c r="R24" s="1"/>
    </row>
    <row r="25" spans="1:18" x14ac:dyDescent="0.25">
      <c r="A25" s="1"/>
      <c r="B25" s="1"/>
      <c r="C25" s="1"/>
      <c r="D25" s="1"/>
      <c r="E25" s="1"/>
      <c r="F25" s="1"/>
      <c r="G25" s="1"/>
      <c r="H25" s="1"/>
      <c r="I25" s="1"/>
      <c r="J25" s="1"/>
      <c r="K25" s="1"/>
      <c r="L25" s="1"/>
      <c r="M25" s="1"/>
      <c r="N25" s="1"/>
      <c r="O25" s="1"/>
      <c r="P25" s="1"/>
      <c r="Q25" s="1"/>
      <c r="R25" s="1"/>
    </row>
    <row r="26" spans="1:18" x14ac:dyDescent="0.25">
      <c r="A26" s="1"/>
      <c r="B26" s="1"/>
      <c r="C26" s="1"/>
      <c r="D26" s="1"/>
      <c r="E26" s="1"/>
      <c r="F26" s="1"/>
      <c r="G26" s="1"/>
      <c r="H26" s="1"/>
      <c r="I26" s="1"/>
      <c r="J26" s="1"/>
      <c r="K26" s="1"/>
      <c r="L26" s="1"/>
      <c r="M26" s="1"/>
      <c r="N26" s="1"/>
      <c r="O26" s="1"/>
      <c r="P26" s="1"/>
      <c r="Q26" s="1"/>
      <c r="R26" s="1"/>
    </row>
    <row r="27" spans="1:18" x14ac:dyDescent="0.25">
      <c r="A27" s="1"/>
      <c r="B27" s="1"/>
      <c r="C27" s="1"/>
      <c r="D27" s="1"/>
      <c r="E27" s="1"/>
      <c r="F27" s="1"/>
      <c r="G27" s="1"/>
      <c r="H27" s="1"/>
      <c r="I27" s="1"/>
      <c r="J27" s="1"/>
      <c r="K27" s="1"/>
      <c r="L27" s="1"/>
      <c r="M27" s="1"/>
      <c r="N27" s="1"/>
      <c r="O27" s="1"/>
      <c r="P27" s="1"/>
      <c r="Q27" s="1"/>
      <c r="R27" s="1"/>
    </row>
    <row r="28" spans="1:18" x14ac:dyDescent="0.25">
      <c r="A28" s="1"/>
      <c r="B28" s="1"/>
      <c r="C28" s="1"/>
      <c r="D28" s="1"/>
      <c r="E28" s="1"/>
      <c r="F28" s="1"/>
      <c r="G28" s="1"/>
      <c r="H28" s="1"/>
      <c r="I28" s="1"/>
      <c r="J28" s="1"/>
      <c r="K28" s="1"/>
      <c r="L28" s="1"/>
      <c r="M28" s="1"/>
      <c r="N28" s="1"/>
      <c r="O28" s="1"/>
      <c r="P28" s="1"/>
      <c r="Q28" s="1"/>
      <c r="R28" s="1"/>
    </row>
    <row r="29" spans="1:18" x14ac:dyDescent="0.25">
      <c r="A29" s="1"/>
      <c r="B29" s="1"/>
      <c r="C29" s="1"/>
      <c r="D29" s="1"/>
      <c r="E29" s="1"/>
      <c r="F29" s="1"/>
      <c r="G29" s="1"/>
      <c r="H29" s="1"/>
      <c r="I29" s="1"/>
      <c r="J29" s="1"/>
      <c r="K29" s="1"/>
      <c r="L29" s="1"/>
      <c r="M29" s="1"/>
      <c r="N29" s="1"/>
      <c r="O29" s="1"/>
      <c r="P29" s="1"/>
      <c r="Q29" s="1"/>
      <c r="R29" s="1"/>
    </row>
    <row r="30" spans="1:18" x14ac:dyDescent="0.25">
      <c r="A30" s="1"/>
      <c r="B30" s="1"/>
      <c r="C30" s="1"/>
      <c r="D30" s="1"/>
      <c r="E30" s="1"/>
      <c r="F30" s="1"/>
      <c r="G30" s="1"/>
      <c r="H30" s="1"/>
      <c r="I30" s="1"/>
      <c r="J30" s="1"/>
      <c r="K30" s="1"/>
      <c r="L30" s="1"/>
      <c r="M30" s="1"/>
      <c r="N30" s="1"/>
      <c r="O30" s="1"/>
      <c r="P30" s="1"/>
      <c r="Q30" s="1"/>
      <c r="R30" s="1"/>
    </row>
    <row r="31" spans="1:18" x14ac:dyDescent="0.25">
      <c r="A31" s="1"/>
      <c r="B31" s="1"/>
      <c r="C31" s="1"/>
      <c r="D31" s="1"/>
      <c r="E31" s="1"/>
      <c r="F31" s="1"/>
      <c r="G31" s="1"/>
      <c r="H31" s="1"/>
      <c r="I31" s="1"/>
      <c r="J31" s="1"/>
      <c r="K31" s="1"/>
      <c r="L31" s="1"/>
      <c r="M31" s="1"/>
      <c r="N31" s="1"/>
      <c r="O31" s="1"/>
      <c r="P31" s="1"/>
      <c r="Q31" s="1"/>
      <c r="R31" s="1"/>
    </row>
    <row r="32" spans="1:18" x14ac:dyDescent="0.25">
      <c r="A32" s="1"/>
      <c r="B32" s="1"/>
      <c r="C32" s="1"/>
      <c r="D32" s="1"/>
      <c r="E32" s="1"/>
      <c r="F32" s="1"/>
      <c r="G32" s="1"/>
      <c r="H32" s="1"/>
      <c r="I32" s="1"/>
      <c r="J32" s="1"/>
      <c r="K32" s="1"/>
      <c r="L32" s="1"/>
      <c r="M32" s="1"/>
      <c r="N32" s="1"/>
      <c r="O32" s="1"/>
      <c r="P32" s="1"/>
      <c r="Q32" s="1"/>
      <c r="R32" s="1"/>
    </row>
    <row r="33" spans="1:18" x14ac:dyDescent="0.25">
      <c r="A33" s="1"/>
      <c r="B33" s="1"/>
      <c r="C33" s="1"/>
      <c r="D33" s="1"/>
      <c r="E33" s="1"/>
      <c r="F33" s="1"/>
      <c r="G33" s="1"/>
      <c r="H33" s="1"/>
      <c r="I33" s="1"/>
      <c r="J33" s="1"/>
      <c r="K33" s="1"/>
      <c r="L33" s="1"/>
      <c r="M33" s="1"/>
      <c r="N33" s="1"/>
      <c r="O33" s="1"/>
      <c r="P33" s="1"/>
      <c r="Q33" s="1"/>
      <c r="R33" s="1"/>
    </row>
    <row r="34" spans="1:18" x14ac:dyDescent="0.25">
      <c r="A34" s="1"/>
      <c r="B34" s="1"/>
      <c r="C34" s="1"/>
      <c r="D34" s="1"/>
      <c r="E34" s="1"/>
      <c r="F34" s="1"/>
      <c r="G34" s="1"/>
      <c r="H34" s="1"/>
      <c r="I34" s="1"/>
      <c r="J34" s="1"/>
      <c r="K34" s="1"/>
      <c r="L34" s="1"/>
      <c r="M34" s="1"/>
      <c r="N34" s="1"/>
      <c r="O34" s="1"/>
      <c r="P34" s="1"/>
      <c r="Q34" s="1"/>
      <c r="R34" s="1"/>
    </row>
    <row r="35" spans="1:18" x14ac:dyDescent="0.25">
      <c r="A35" s="1"/>
      <c r="B35" s="1"/>
      <c r="C35" s="1"/>
      <c r="D35" s="1"/>
      <c r="E35" s="1"/>
      <c r="F35" s="1"/>
      <c r="G35" s="1"/>
      <c r="H35" s="1"/>
      <c r="I35" s="1"/>
      <c r="J35" s="1"/>
      <c r="K35" s="1"/>
      <c r="L35" s="1"/>
      <c r="M35" s="1"/>
      <c r="N35" s="1"/>
      <c r="O35" s="1"/>
      <c r="P35" s="1"/>
      <c r="Q35" s="1"/>
      <c r="R35" s="1"/>
    </row>
    <row r="36" spans="1:18" x14ac:dyDescent="0.25">
      <c r="A36" s="1"/>
      <c r="B36" s="1"/>
      <c r="C36" s="1"/>
      <c r="D36" s="1"/>
      <c r="E36" s="1"/>
      <c r="F36" s="1"/>
      <c r="G36" s="1"/>
      <c r="H36" s="1"/>
      <c r="I36" s="1"/>
      <c r="J36" s="1"/>
      <c r="K36" s="1"/>
      <c r="L36" s="1"/>
      <c r="M36" s="1"/>
      <c r="N36" s="1"/>
      <c r="O36" s="1"/>
      <c r="P36" s="1"/>
      <c r="Q36" s="1"/>
      <c r="R36" s="1"/>
    </row>
    <row r="37" spans="1:18" x14ac:dyDescent="0.25">
      <c r="A37" s="1"/>
      <c r="B37" s="1"/>
      <c r="C37" s="1"/>
      <c r="D37" s="1"/>
      <c r="E37" s="1"/>
      <c r="F37" s="1"/>
      <c r="G37" s="1"/>
      <c r="H37" s="1"/>
      <c r="I37" s="1"/>
      <c r="J37" s="1"/>
      <c r="K37" s="1"/>
      <c r="L37" s="1"/>
      <c r="M37" s="1"/>
      <c r="N37" s="1"/>
      <c r="O37" s="1"/>
      <c r="P37" s="1"/>
      <c r="Q37" s="1"/>
      <c r="R37" s="1"/>
    </row>
    <row r="38" spans="1:18" x14ac:dyDescent="0.25">
      <c r="A38" s="1"/>
      <c r="B38" s="1"/>
      <c r="C38" s="1"/>
      <c r="D38" s="1"/>
      <c r="E38" s="1"/>
      <c r="F38" s="1"/>
      <c r="G38" s="1"/>
      <c r="H38" s="1"/>
      <c r="I38" s="1"/>
      <c r="J38" s="1"/>
      <c r="K38" s="1"/>
      <c r="L38" s="1"/>
      <c r="M38" s="1"/>
      <c r="N38" s="1"/>
      <c r="O38" s="1"/>
      <c r="P38" s="1"/>
      <c r="Q38" s="1"/>
      <c r="R38" s="1"/>
    </row>
    <row r="39" spans="1:18" x14ac:dyDescent="0.25">
      <c r="A39" s="1"/>
      <c r="B39" s="1"/>
      <c r="C39" s="1"/>
      <c r="D39" s="1"/>
      <c r="E39" s="1"/>
      <c r="F39" s="1"/>
      <c r="G39" s="1"/>
      <c r="H39" s="1"/>
      <c r="I39" s="1"/>
      <c r="J39" s="1"/>
      <c r="K39" s="1"/>
      <c r="L39" s="1"/>
      <c r="M39" s="1"/>
      <c r="N39" s="1"/>
      <c r="O39" s="1"/>
      <c r="P39" s="1"/>
      <c r="Q39" s="1"/>
      <c r="R39" s="1"/>
    </row>
    <row r="40" spans="1:18" x14ac:dyDescent="0.25">
      <c r="A40" s="1"/>
      <c r="B40" s="1"/>
      <c r="C40" s="1"/>
      <c r="D40" s="1"/>
      <c r="E40" s="1"/>
      <c r="F40" s="1"/>
      <c r="G40" s="1"/>
      <c r="H40" s="1"/>
      <c r="I40" s="1"/>
      <c r="J40" s="1"/>
      <c r="K40" s="1"/>
      <c r="L40" s="1"/>
      <c r="M40" s="1"/>
      <c r="N40" s="1"/>
      <c r="O40" s="1"/>
      <c r="P40" s="1"/>
      <c r="Q40" s="1"/>
      <c r="R40" s="1"/>
    </row>
    <row r="41" spans="1:18" x14ac:dyDescent="0.25">
      <c r="A41" s="1"/>
      <c r="B41" s="1"/>
      <c r="C41" s="1"/>
      <c r="D41" s="1"/>
      <c r="E41" s="1"/>
      <c r="F41" s="1"/>
      <c r="G41" s="1"/>
      <c r="H41" s="1"/>
      <c r="I41" s="1"/>
      <c r="J41" s="1"/>
      <c r="K41" s="1"/>
      <c r="L41" s="1"/>
      <c r="M41" s="1"/>
      <c r="N41" s="1"/>
      <c r="O41" s="1"/>
      <c r="P41" s="1"/>
      <c r="Q41" s="1"/>
      <c r="R41" s="1"/>
    </row>
    <row r="42" spans="1:18" x14ac:dyDescent="0.25">
      <c r="A42" s="1"/>
      <c r="B42" s="1"/>
      <c r="C42" s="1"/>
      <c r="D42" s="1"/>
      <c r="E42" s="1"/>
      <c r="F42" s="1"/>
      <c r="G42" s="1"/>
      <c r="H42" s="1"/>
      <c r="I42" s="1"/>
      <c r="J42" s="1"/>
      <c r="K42" s="1"/>
      <c r="L42" s="1"/>
      <c r="M42" s="1"/>
      <c r="N42" s="1"/>
      <c r="O42" s="1"/>
      <c r="P42" s="1"/>
      <c r="Q42" s="1"/>
      <c r="R42" s="1"/>
    </row>
    <row r="43" spans="1:18" x14ac:dyDescent="0.25">
      <c r="A43" s="1"/>
      <c r="B43" s="1"/>
      <c r="C43" s="1"/>
      <c r="D43" s="1"/>
      <c r="E43" s="1"/>
      <c r="F43" s="1"/>
      <c r="G43" s="1"/>
      <c r="H43" s="1"/>
      <c r="I43" s="1"/>
      <c r="J43" s="1"/>
      <c r="K43" s="1"/>
      <c r="L43" s="1"/>
      <c r="M43" s="1"/>
      <c r="N43" s="1"/>
      <c r="O43" s="1"/>
      <c r="P43" s="1"/>
      <c r="Q43" s="1"/>
      <c r="R43" s="1"/>
    </row>
    <row r="44" spans="1:18" x14ac:dyDescent="0.25">
      <c r="A44" s="1"/>
      <c r="B44" s="1"/>
      <c r="C44" s="1"/>
      <c r="D44" s="1"/>
      <c r="E44" s="1"/>
      <c r="F44" s="1"/>
      <c r="G44" s="1"/>
      <c r="H44" s="1"/>
      <c r="I44" s="1"/>
      <c r="J44" s="1"/>
      <c r="K44" s="1"/>
      <c r="L44" s="1"/>
      <c r="M44" s="1"/>
      <c r="N44" s="1"/>
      <c r="O44" s="1"/>
      <c r="P44" s="1"/>
      <c r="Q44" s="1"/>
      <c r="R44" s="1"/>
    </row>
    <row r="45" spans="1:18" x14ac:dyDescent="0.25">
      <c r="A45" s="1"/>
      <c r="B45" s="1"/>
      <c r="C45" s="1"/>
      <c r="D45" s="1"/>
      <c r="E45" s="1"/>
      <c r="F45" s="1"/>
      <c r="G45" s="1"/>
      <c r="H45" s="1"/>
      <c r="I45" s="1"/>
      <c r="J45" s="1"/>
      <c r="K45" s="1"/>
      <c r="L45" s="1"/>
      <c r="M45" s="1"/>
      <c r="N45" s="1"/>
      <c r="O45" s="1"/>
      <c r="P45" s="1"/>
      <c r="Q45" s="1"/>
      <c r="R45" s="1"/>
    </row>
  </sheetData>
  <mergeCells count="4">
    <mergeCell ref="B2:L2"/>
    <mergeCell ref="B3:L3"/>
    <mergeCell ref="E6:K6"/>
    <mergeCell ref="B23:K23"/>
  </mergeCells>
  <conditionalFormatting sqref="E9:E10">
    <cfRule type="expression" dxfId="26" priority="1">
      <formula>((DATE($C$6,$B$6,1)-WEEKDAY(DATE($C$6,$B$6,1),2)+1)+0)=INT(Setup!$C$7)</formula>
    </cfRule>
    <cfRule type="expression" dxfId="27" priority="2">
      <formula>((DATE($C$6,$B$6,1)-WEEKDAY(DATE($C$6,$B$6,1),2)+1)+0)=TODAY()</formula>
    </cfRule>
  </conditionalFormatting>
  <conditionalFormatting sqref="F9:F10">
    <cfRule type="expression" dxfId="28" priority="1">
      <formula>((DATE($C$6,$B$6,1)-WEEKDAY(DATE($C$6,$B$6,1),2)+1)+1)=INT(Setup!$C$7)</formula>
    </cfRule>
    <cfRule type="expression" dxfId="29" priority="2">
      <formula>((DATE($C$6,$B$6,1)-WEEKDAY(DATE($C$6,$B$6,1),2)+1)+1)=TODAY()</formula>
    </cfRule>
  </conditionalFormatting>
  <conditionalFormatting sqref="G9:G10">
    <cfRule type="expression" dxfId="30" priority="1">
      <formula>((DATE($C$6,$B$6,1)-WEEKDAY(DATE($C$6,$B$6,1),2)+1)+2)=INT(Setup!$C$7)</formula>
    </cfRule>
    <cfRule type="expression" dxfId="31" priority="2">
      <formula>((DATE($C$6,$B$6,1)-WEEKDAY(DATE($C$6,$B$6,1),2)+1)+2)=TODAY()</formula>
    </cfRule>
  </conditionalFormatting>
  <conditionalFormatting sqref="H9:H10">
    <cfRule type="expression" dxfId="32" priority="1">
      <formula>((DATE($C$6,$B$6,1)-WEEKDAY(DATE($C$6,$B$6,1),2)+1)+3)=INT(Setup!$C$7)</formula>
    </cfRule>
    <cfRule type="expression" dxfId="33" priority="2">
      <formula>((DATE($C$6,$B$6,1)-WEEKDAY(DATE($C$6,$B$6,1),2)+1)+3)=TODAY()</formula>
    </cfRule>
  </conditionalFormatting>
  <conditionalFormatting sqref="I9:I10">
    <cfRule type="expression" dxfId="34" priority="1">
      <formula>((DATE($C$6,$B$6,1)-WEEKDAY(DATE($C$6,$B$6,1),2)+1)+4)=INT(Setup!$C$7)</formula>
    </cfRule>
    <cfRule type="expression" dxfId="35" priority="2">
      <formula>((DATE($C$6,$B$6,1)-WEEKDAY(DATE($C$6,$B$6,1),2)+1)+4)=TODAY()</formula>
    </cfRule>
  </conditionalFormatting>
  <conditionalFormatting sqref="J9:J10">
    <cfRule type="expression" dxfId="36" priority="1">
      <formula>((DATE($C$6,$B$6,1)-WEEKDAY(DATE($C$6,$B$6,1),2)+1)+5)=INT(Setup!$C$7)</formula>
    </cfRule>
    <cfRule type="expression" dxfId="37" priority="2">
      <formula>((DATE($C$6,$B$6,1)-WEEKDAY(DATE($C$6,$B$6,1),2)+1)+5)=TODAY()</formula>
    </cfRule>
  </conditionalFormatting>
  <conditionalFormatting sqref="K9:K10">
    <cfRule type="expression" dxfId="38" priority="1">
      <formula>((DATE($C$6,$B$6,1)-WEEKDAY(DATE($C$6,$B$6,1),2)+1)+6)=INT(Setup!$C$7)</formula>
    </cfRule>
    <cfRule type="expression" dxfId="39" priority="2">
      <formula>((DATE($C$6,$B$6,1)-WEEKDAY(DATE($C$6,$B$6,1),2)+1)+6)=TODAY()</formula>
    </cfRule>
  </conditionalFormatting>
  <conditionalFormatting sqref="E11:E12">
    <cfRule type="expression" dxfId="40" priority="1">
      <formula>((DATE($C$6,$B$6,1)-WEEKDAY(DATE($C$6,$B$6,1),2)+1)+7)=INT(Setup!$C$7)</formula>
    </cfRule>
    <cfRule type="expression" dxfId="41" priority="2">
      <formula>((DATE($C$6,$B$6,1)-WEEKDAY(DATE($C$6,$B$6,1),2)+1)+7)=TODAY()</formula>
    </cfRule>
  </conditionalFormatting>
  <conditionalFormatting sqref="F11:F12">
    <cfRule type="expression" dxfId="42" priority="1">
      <formula>((DATE($C$6,$B$6,1)-WEEKDAY(DATE($C$6,$B$6,1),2)+1)+8)=INT(Setup!$C$7)</formula>
    </cfRule>
    <cfRule type="expression" dxfId="43" priority="2">
      <formula>((DATE($C$6,$B$6,1)-WEEKDAY(DATE($C$6,$B$6,1),2)+1)+8)=TODAY()</formula>
    </cfRule>
  </conditionalFormatting>
  <conditionalFormatting sqref="G11:G12">
    <cfRule type="expression" dxfId="44" priority="1">
      <formula>((DATE($C$6,$B$6,1)-WEEKDAY(DATE($C$6,$B$6,1),2)+1)+9)=INT(Setup!$C$7)</formula>
    </cfRule>
    <cfRule type="expression" dxfId="45" priority="2">
      <formula>((DATE($C$6,$B$6,1)-WEEKDAY(DATE($C$6,$B$6,1),2)+1)+9)=TODAY()</formula>
    </cfRule>
  </conditionalFormatting>
  <conditionalFormatting sqref="H11:H12">
    <cfRule type="expression" dxfId="46" priority="1">
      <formula>((DATE($C$6,$B$6,1)-WEEKDAY(DATE($C$6,$B$6,1),2)+1)+10)=INT(Setup!$C$7)</formula>
    </cfRule>
    <cfRule type="expression" dxfId="47" priority="2">
      <formula>((DATE($C$6,$B$6,1)-WEEKDAY(DATE($C$6,$B$6,1),2)+1)+10)=TODAY()</formula>
    </cfRule>
  </conditionalFormatting>
  <conditionalFormatting sqref="I11:I12">
    <cfRule type="expression" dxfId="48" priority="1">
      <formula>((DATE($C$6,$B$6,1)-WEEKDAY(DATE($C$6,$B$6,1),2)+1)+11)=INT(Setup!$C$7)</formula>
    </cfRule>
    <cfRule type="expression" dxfId="49" priority="2">
      <formula>((DATE($C$6,$B$6,1)-WEEKDAY(DATE($C$6,$B$6,1),2)+1)+11)=TODAY()</formula>
    </cfRule>
  </conditionalFormatting>
  <conditionalFormatting sqref="J11:J12">
    <cfRule type="expression" dxfId="50" priority="1">
      <formula>((DATE($C$6,$B$6,1)-WEEKDAY(DATE($C$6,$B$6,1),2)+1)+12)=INT(Setup!$C$7)</formula>
    </cfRule>
    <cfRule type="expression" dxfId="51" priority="2">
      <formula>((DATE($C$6,$B$6,1)-WEEKDAY(DATE($C$6,$B$6,1),2)+1)+12)=TODAY()</formula>
    </cfRule>
  </conditionalFormatting>
  <conditionalFormatting sqref="K11:K12">
    <cfRule type="expression" dxfId="52" priority="1">
      <formula>((DATE($C$6,$B$6,1)-WEEKDAY(DATE($C$6,$B$6,1),2)+1)+13)=INT(Setup!$C$7)</formula>
    </cfRule>
    <cfRule type="expression" dxfId="53" priority="2">
      <formula>((DATE($C$6,$B$6,1)-WEEKDAY(DATE($C$6,$B$6,1),2)+1)+13)=TODAY()</formula>
    </cfRule>
  </conditionalFormatting>
  <conditionalFormatting sqref="E13:E14">
    <cfRule type="expression" dxfId="54" priority="1">
      <formula>((DATE($C$6,$B$6,1)-WEEKDAY(DATE($C$6,$B$6,1),2)+1)+14)=INT(Setup!$C$7)</formula>
    </cfRule>
    <cfRule type="expression" dxfId="55" priority="2">
      <formula>((DATE($C$6,$B$6,1)-WEEKDAY(DATE($C$6,$B$6,1),2)+1)+14)=TODAY()</formula>
    </cfRule>
  </conditionalFormatting>
  <conditionalFormatting sqref="F13:F14">
    <cfRule type="expression" dxfId="56" priority="1">
      <formula>((DATE($C$6,$B$6,1)-WEEKDAY(DATE($C$6,$B$6,1),2)+1)+15)=INT(Setup!$C$7)</formula>
    </cfRule>
    <cfRule type="expression" dxfId="57" priority="2">
      <formula>((DATE($C$6,$B$6,1)-WEEKDAY(DATE($C$6,$B$6,1),2)+1)+15)=TODAY()</formula>
    </cfRule>
  </conditionalFormatting>
  <conditionalFormatting sqref="G13:G14">
    <cfRule type="expression" dxfId="58" priority="1">
      <formula>((DATE($C$6,$B$6,1)-WEEKDAY(DATE($C$6,$B$6,1),2)+1)+16)=INT(Setup!$C$7)</formula>
    </cfRule>
    <cfRule type="expression" dxfId="59" priority="2">
      <formula>((DATE($C$6,$B$6,1)-WEEKDAY(DATE($C$6,$B$6,1),2)+1)+16)=TODAY()</formula>
    </cfRule>
  </conditionalFormatting>
  <conditionalFormatting sqref="H13:H14">
    <cfRule type="expression" dxfId="60" priority="1">
      <formula>((DATE($C$6,$B$6,1)-WEEKDAY(DATE($C$6,$B$6,1),2)+1)+17)=INT(Setup!$C$7)</formula>
    </cfRule>
    <cfRule type="expression" dxfId="61" priority="2">
      <formula>((DATE($C$6,$B$6,1)-WEEKDAY(DATE($C$6,$B$6,1),2)+1)+17)=TODAY()</formula>
    </cfRule>
  </conditionalFormatting>
  <conditionalFormatting sqref="I13:I14">
    <cfRule type="expression" dxfId="62" priority="1">
      <formula>((DATE($C$6,$B$6,1)-WEEKDAY(DATE($C$6,$B$6,1),2)+1)+18)=INT(Setup!$C$7)</formula>
    </cfRule>
    <cfRule type="expression" dxfId="63" priority="2">
      <formula>((DATE($C$6,$B$6,1)-WEEKDAY(DATE($C$6,$B$6,1),2)+1)+18)=TODAY()</formula>
    </cfRule>
  </conditionalFormatting>
  <conditionalFormatting sqref="J13:J14">
    <cfRule type="expression" dxfId="64" priority="1">
      <formula>((DATE($C$6,$B$6,1)-WEEKDAY(DATE($C$6,$B$6,1),2)+1)+19)=INT(Setup!$C$7)</formula>
    </cfRule>
    <cfRule type="expression" dxfId="65" priority="2">
      <formula>((DATE($C$6,$B$6,1)-WEEKDAY(DATE($C$6,$B$6,1),2)+1)+19)=TODAY()</formula>
    </cfRule>
  </conditionalFormatting>
  <conditionalFormatting sqref="K13:K14">
    <cfRule type="expression" dxfId="66" priority="1">
      <formula>((DATE($C$6,$B$6,1)-WEEKDAY(DATE($C$6,$B$6,1),2)+1)+20)=INT(Setup!$C$7)</formula>
    </cfRule>
    <cfRule type="expression" dxfId="67" priority="2">
      <formula>((DATE($C$6,$B$6,1)-WEEKDAY(DATE($C$6,$B$6,1),2)+1)+20)=TODAY()</formula>
    </cfRule>
  </conditionalFormatting>
  <conditionalFormatting sqref="E15:E16">
    <cfRule type="expression" dxfId="68" priority="1">
      <formula>((DATE($C$6,$B$6,1)-WEEKDAY(DATE($C$6,$B$6,1),2)+1)+21)=INT(Setup!$C$7)</formula>
    </cfRule>
    <cfRule type="expression" dxfId="69" priority="2">
      <formula>((DATE($C$6,$B$6,1)-WEEKDAY(DATE($C$6,$B$6,1),2)+1)+21)=TODAY()</formula>
    </cfRule>
  </conditionalFormatting>
  <conditionalFormatting sqref="F15:F16">
    <cfRule type="expression" dxfId="70" priority="1">
      <formula>((DATE($C$6,$B$6,1)-WEEKDAY(DATE($C$6,$B$6,1),2)+1)+22)=INT(Setup!$C$7)</formula>
    </cfRule>
    <cfRule type="expression" dxfId="71" priority="2">
      <formula>((DATE($C$6,$B$6,1)-WEEKDAY(DATE($C$6,$B$6,1),2)+1)+22)=TODAY()</formula>
    </cfRule>
  </conditionalFormatting>
  <conditionalFormatting sqref="G15:G16">
    <cfRule type="expression" dxfId="72" priority="1">
      <formula>((DATE($C$6,$B$6,1)-WEEKDAY(DATE($C$6,$B$6,1),2)+1)+23)=INT(Setup!$C$7)</formula>
    </cfRule>
    <cfRule type="expression" dxfId="73" priority="2">
      <formula>((DATE($C$6,$B$6,1)-WEEKDAY(DATE($C$6,$B$6,1),2)+1)+23)=TODAY()</formula>
    </cfRule>
  </conditionalFormatting>
  <conditionalFormatting sqref="H15:H16">
    <cfRule type="expression" dxfId="74" priority="1">
      <formula>((DATE($C$6,$B$6,1)-WEEKDAY(DATE($C$6,$B$6,1),2)+1)+24)=INT(Setup!$C$7)</formula>
    </cfRule>
    <cfRule type="expression" dxfId="75" priority="2">
      <formula>((DATE($C$6,$B$6,1)-WEEKDAY(DATE($C$6,$B$6,1),2)+1)+24)=TODAY()</formula>
    </cfRule>
  </conditionalFormatting>
  <conditionalFormatting sqref="I15:I16">
    <cfRule type="expression" dxfId="76" priority="1">
      <formula>((DATE($C$6,$B$6,1)-WEEKDAY(DATE($C$6,$B$6,1),2)+1)+25)=INT(Setup!$C$7)</formula>
    </cfRule>
    <cfRule type="expression" dxfId="77" priority="2">
      <formula>((DATE($C$6,$B$6,1)-WEEKDAY(DATE($C$6,$B$6,1),2)+1)+25)=TODAY()</formula>
    </cfRule>
  </conditionalFormatting>
  <conditionalFormatting sqref="J15:J16">
    <cfRule type="expression" dxfId="78" priority="1">
      <formula>((DATE($C$6,$B$6,1)-WEEKDAY(DATE($C$6,$B$6,1),2)+1)+26)=INT(Setup!$C$7)</formula>
    </cfRule>
    <cfRule type="expression" dxfId="79" priority="2">
      <formula>((DATE($C$6,$B$6,1)-WEEKDAY(DATE($C$6,$B$6,1),2)+1)+26)=TODAY()</formula>
    </cfRule>
  </conditionalFormatting>
  <conditionalFormatting sqref="K15:K16">
    <cfRule type="expression" dxfId="80" priority="1">
      <formula>((DATE($C$6,$B$6,1)-WEEKDAY(DATE($C$6,$B$6,1),2)+1)+27)=INT(Setup!$C$7)</formula>
    </cfRule>
    <cfRule type="expression" dxfId="81" priority="2">
      <formula>((DATE($C$6,$B$6,1)-WEEKDAY(DATE($C$6,$B$6,1),2)+1)+27)=TODAY()</formula>
    </cfRule>
  </conditionalFormatting>
  <conditionalFormatting sqref="E17:E18">
    <cfRule type="expression" dxfId="82" priority="1">
      <formula>((DATE($C$6,$B$6,1)-WEEKDAY(DATE($C$6,$B$6,1),2)+1)+28)=INT(Setup!$C$7)</formula>
    </cfRule>
    <cfRule type="expression" dxfId="83" priority="2">
      <formula>((DATE($C$6,$B$6,1)-WEEKDAY(DATE($C$6,$B$6,1),2)+1)+28)=TODAY()</formula>
    </cfRule>
  </conditionalFormatting>
  <conditionalFormatting sqref="F17:F18">
    <cfRule type="expression" dxfId="84" priority="1">
      <formula>((DATE($C$6,$B$6,1)-WEEKDAY(DATE($C$6,$B$6,1),2)+1)+29)=INT(Setup!$C$7)</formula>
    </cfRule>
    <cfRule type="expression" dxfId="85" priority="2">
      <formula>((DATE($C$6,$B$6,1)-WEEKDAY(DATE($C$6,$B$6,1),2)+1)+29)=TODAY()</formula>
    </cfRule>
  </conditionalFormatting>
  <conditionalFormatting sqref="G17:G18">
    <cfRule type="expression" dxfId="86" priority="1">
      <formula>((DATE($C$6,$B$6,1)-WEEKDAY(DATE($C$6,$B$6,1),2)+1)+30)=INT(Setup!$C$7)</formula>
    </cfRule>
    <cfRule type="expression" dxfId="87" priority="2">
      <formula>((DATE($C$6,$B$6,1)-WEEKDAY(DATE($C$6,$B$6,1),2)+1)+30)=TODAY()</formula>
    </cfRule>
  </conditionalFormatting>
  <conditionalFormatting sqref="H17:H18">
    <cfRule type="expression" dxfId="88" priority="1">
      <formula>((DATE($C$6,$B$6,1)-WEEKDAY(DATE($C$6,$B$6,1),2)+1)+31)=INT(Setup!$C$7)</formula>
    </cfRule>
    <cfRule type="expression" dxfId="89" priority="2">
      <formula>((DATE($C$6,$B$6,1)-WEEKDAY(DATE($C$6,$B$6,1),2)+1)+31)=TODAY()</formula>
    </cfRule>
  </conditionalFormatting>
  <conditionalFormatting sqref="I17:I18">
    <cfRule type="expression" dxfId="90" priority="1">
      <formula>((DATE($C$6,$B$6,1)-WEEKDAY(DATE($C$6,$B$6,1),2)+1)+32)=INT(Setup!$C$7)</formula>
    </cfRule>
    <cfRule type="expression" dxfId="91" priority="2">
      <formula>((DATE($C$6,$B$6,1)-WEEKDAY(DATE($C$6,$B$6,1),2)+1)+32)=TODAY()</formula>
    </cfRule>
  </conditionalFormatting>
  <conditionalFormatting sqref="J17:J18">
    <cfRule type="expression" dxfId="92" priority="1">
      <formula>((DATE($C$6,$B$6,1)-WEEKDAY(DATE($C$6,$B$6,1),2)+1)+33)=INT(Setup!$C$7)</formula>
    </cfRule>
    <cfRule type="expression" dxfId="93" priority="2">
      <formula>((DATE($C$6,$B$6,1)-WEEKDAY(DATE($C$6,$B$6,1),2)+1)+33)=TODAY()</formula>
    </cfRule>
  </conditionalFormatting>
  <conditionalFormatting sqref="K17:K18">
    <cfRule type="expression" dxfId="94" priority="1">
      <formula>((DATE($C$6,$B$6,1)-WEEKDAY(DATE($C$6,$B$6,1),2)+1)+34)=INT(Setup!$C$7)</formula>
    </cfRule>
    <cfRule type="expression" dxfId="95" priority="2">
      <formula>((DATE($C$6,$B$6,1)-WEEKDAY(DATE($C$6,$B$6,1),2)+1)+34)=TODAY()</formula>
    </cfRule>
  </conditionalFormatting>
  <conditionalFormatting sqref="E19:E20">
    <cfRule type="expression" dxfId="96" priority="1">
      <formula>((DATE($C$6,$B$6,1)-WEEKDAY(DATE($C$6,$B$6,1),2)+1)+35)=INT(Setup!$C$7)</formula>
    </cfRule>
    <cfRule type="expression" dxfId="97" priority="2">
      <formula>((DATE($C$6,$B$6,1)-WEEKDAY(DATE($C$6,$B$6,1),2)+1)+35)=TODAY()</formula>
    </cfRule>
  </conditionalFormatting>
  <conditionalFormatting sqref="F19:F20">
    <cfRule type="expression" dxfId="98" priority="1">
      <formula>((DATE($C$6,$B$6,1)-WEEKDAY(DATE($C$6,$B$6,1),2)+1)+36)=INT(Setup!$C$7)</formula>
    </cfRule>
    <cfRule type="expression" dxfId="99" priority="2">
      <formula>((DATE($C$6,$B$6,1)-WEEKDAY(DATE($C$6,$B$6,1),2)+1)+36)=TODAY()</formula>
    </cfRule>
  </conditionalFormatting>
  <conditionalFormatting sqref="G19:G20">
    <cfRule type="expression" dxfId="100" priority="1">
      <formula>((DATE($C$6,$B$6,1)-WEEKDAY(DATE($C$6,$B$6,1),2)+1)+37)=INT(Setup!$C$7)</formula>
    </cfRule>
    <cfRule type="expression" dxfId="101" priority="2">
      <formula>((DATE($C$6,$B$6,1)-WEEKDAY(DATE($C$6,$B$6,1),2)+1)+37)=TODAY()</formula>
    </cfRule>
  </conditionalFormatting>
  <conditionalFormatting sqref="H19:H20">
    <cfRule type="expression" dxfId="102" priority="1">
      <formula>((DATE($C$6,$B$6,1)-WEEKDAY(DATE($C$6,$B$6,1),2)+1)+38)=INT(Setup!$C$7)</formula>
    </cfRule>
    <cfRule type="expression" dxfId="103" priority="2">
      <formula>((DATE($C$6,$B$6,1)-WEEKDAY(DATE($C$6,$B$6,1),2)+1)+38)=TODAY()</formula>
    </cfRule>
  </conditionalFormatting>
  <conditionalFormatting sqref="I19:I20">
    <cfRule type="expression" dxfId="104" priority="1">
      <formula>((DATE($C$6,$B$6,1)-WEEKDAY(DATE($C$6,$B$6,1),2)+1)+39)=INT(Setup!$C$7)</formula>
    </cfRule>
    <cfRule type="expression" dxfId="105" priority="2">
      <formula>((DATE($C$6,$B$6,1)-WEEKDAY(DATE($C$6,$B$6,1),2)+1)+39)=TODAY()</formula>
    </cfRule>
  </conditionalFormatting>
  <conditionalFormatting sqref="J19:J20">
    <cfRule type="expression" dxfId="106" priority="1">
      <formula>((DATE($C$6,$B$6,1)-WEEKDAY(DATE($C$6,$B$6,1),2)+1)+40)=INT(Setup!$C$7)</formula>
    </cfRule>
    <cfRule type="expression" dxfId="107" priority="2">
      <formula>((DATE($C$6,$B$6,1)-WEEKDAY(DATE($C$6,$B$6,1),2)+1)+40)=TODAY()</formula>
    </cfRule>
  </conditionalFormatting>
  <conditionalFormatting sqref="K19:K20">
    <cfRule type="expression" dxfId="108" priority="1">
      <formula>((DATE($C$6,$B$6,1)-WEEKDAY(DATE($C$6,$B$6,1),2)+1)+41)=INT(Setup!$C$7)</formula>
    </cfRule>
    <cfRule type="expression" dxfId="109" priority="2">
      <formula>((DATE($C$6,$B$6,1)-WEEKDAY(DATE($C$6,$B$6,1),2)+1)+41)=TODAY()</formula>
    </cfRule>
  </conditionalFormatting>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L55"/>
  <sheetViews>
    <sheetView workbookViewId="0" showGridLines="0" zoomScale="100"/>
  </sheetViews>
  <sheetFormatPr defaultRowHeight="15" outlineLevelRow="0" outlineLevelCol="0" x14ac:dyDescent="55"/>
  <cols>
    <col min="1" max="1" width="3" customWidth="1"/>
    <col min="2" max="2" width="10" customWidth="1"/>
    <col min="3" max="3" width="34" customWidth="1"/>
    <col min="4" max="4" width="20" customWidth="1"/>
    <col min="5" max="5" width="22" customWidth="1"/>
    <col min="6" max="6" width="24" customWidth="1"/>
    <col min="7" max="7" width="26" customWidth="1"/>
  </cols>
  <sheetData>
    <row r="1" ht="14" customHeight="1" spans="1:12" x14ac:dyDescent="0.25">
      <c r="A1" s="1"/>
      <c r="B1" s="1"/>
      <c r="C1" s="1"/>
      <c r="D1" s="1"/>
      <c r="E1" s="1"/>
      <c r="F1" s="1"/>
      <c r="G1" s="1"/>
      <c r="H1" s="1"/>
      <c r="I1" s="1"/>
      <c r="J1" s="1"/>
      <c r="K1" s="1"/>
      <c r="L1" s="1"/>
    </row>
    <row r="2" ht="38" customHeight="1" spans="1:12" x14ac:dyDescent="0.25">
      <c r="A2" s="1"/>
      <c r="B2" s="34" t="s">
        <v>400</v>
      </c>
      <c r="C2" s="34"/>
      <c r="D2" s="34"/>
      <c r="E2" s="34"/>
      <c r="F2" s="34"/>
      <c r="G2" s="34"/>
      <c r="H2" s="34"/>
      <c r="I2" s="34"/>
      <c r="J2" s="34"/>
      <c r="K2" s="1"/>
      <c r="L2" s="1"/>
    </row>
    <row r="3" ht="18" customHeight="1" spans="1:12" x14ac:dyDescent="0.25">
      <c r="A3" s="1"/>
      <c r="B3" s="35" t="s">
        <v>401</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51" t="s">
        <v>402</v>
      </c>
      <c r="C5" s="49" t="s">
        <v>403</v>
      </c>
      <c r="D5" s="49" t="s">
        <v>404</v>
      </c>
      <c r="E5" s="49" t="s">
        <v>405</v>
      </c>
      <c r="F5" s="49" t="s">
        <v>406</v>
      </c>
      <c r="G5" s="49" t="s">
        <v>91</v>
      </c>
      <c r="H5" s="1"/>
      <c r="I5" s="1"/>
      <c r="J5" s="1"/>
      <c r="K5" s="1"/>
      <c r="L5" s="1"/>
    </row>
    <row r="6" ht="19" customHeight="1" spans="1:12" x14ac:dyDescent="0.25">
      <c r="A6" s="1"/>
      <c r="B6" s="56" t="s">
        <v>407</v>
      </c>
      <c r="C6" s="53" t="s">
        <v>408</v>
      </c>
      <c r="D6" s="53" t="s">
        <v>409</v>
      </c>
      <c r="E6" s="53" t="s">
        <v>410</v>
      </c>
      <c r="F6" s="53" t="s">
        <v>111</v>
      </c>
      <c r="G6" s="53"/>
      <c r="H6" s="1"/>
      <c r="I6" s="1"/>
      <c r="J6" s="1"/>
      <c r="K6" s="1"/>
      <c r="L6" s="1"/>
    </row>
    <row r="7" ht="19" customHeight="1" spans="1:12" x14ac:dyDescent="0.25">
      <c r="A7" s="1"/>
      <c r="B7" s="56" t="s">
        <v>411</v>
      </c>
      <c r="C7" s="53" t="s">
        <v>412</v>
      </c>
      <c r="D7" s="53" t="s">
        <v>413</v>
      </c>
      <c r="E7" s="53" t="s">
        <v>414</v>
      </c>
      <c r="F7" s="53" t="s">
        <v>99</v>
      </c>
      <c r="G7" s="53"/>
      <c r="H7" s="1"/>
      <c r="I7" s="1"/>
      <c r="J7" s="1"/>
      <c r="K7" s="1"/>
      <c r="L7" s="1"/>
    </row>
    <row r="8" ht="19" customHeight="1" spans="1:12" x14ac:dyDescent="0.25">
      <c r="A8" s="1"/>
      <c r="B8" s="56" t="s">
        <v>415</v>
      </c>
      <c r="C8" s="53" t="s">
        <v>416</v>
      </c>
      <c r="D8" s="53" t="s">
        <v>417</v>
      </c>
      <c r="E8" s="53" t="s">
        <v>410</v>
      </c>
      <c r="F8" s="53" t="s">
        <v>97</v>
      </c>
      <c r="G8" s="53"/>
      <c r="H8" s="1"/>
      <c r="I8" s="1"/>
      <c r="J8" s="1"/>
      <c r="K8" s="1"/>
      <c r="L8" s="1"/>
    </row>
    <row r="9" ht="19" customHeight="1" spans="1:12" x14ac:dyDescent="0.25">
      <c r="A9" s="1"/>
      <c r="B9" s="56" t="s">
        <v>418</v>
      </c>
      <c r="C9" s="53" t="s">
        <v>419</v>
      </c>
      <c r="D9" s="53" t="s">
        <v>420</v>
      </c>
      <c r="E9" s="53" t="s">
        <v>421</v>
      </c>
      <c r="F9" s="53"/>
      <c r="G9" s="53"/>
      <c r="H9" s="1"/>
      <c r="I9" s="1"/>
      <c r="J9" s="1"/>
      <c r="K9" s="1"/>
      <c r="L9" s="1"/>
    </row>
    <row r="10" ht="19" customHeight="1" spans="1:12" x14ac:dyDescent="0.25">
      <c r="A10" s="1"/>
      <c r="B10" s="56" t="s">
        <v>422</v>
      </c>
      <c r="C10" s="53" t="s">
        <v>423</v>
      </c>
      <c r="D10" s="53" t="s">
        <v>424</v>
      </c>
      <c r="E10" s="53" t="s">
        <v>425</v>
      </c>
      <c r="F10" s="53" t="s">
        <v>92</v>
      </c>
      <c r="G10" s="53"/>
      <c r="H10" s="1"/>
      <c r="I10" s="1"/>
      <c r="J10" s="1"/>
      <c r="K10" s="1"/>
      <c r="L10" s="1"/>
    </row>
    <row r="11" ht="19" customHeight="1" spans="1:12" x14ac:dyDescent="0.25">
      <c r="A11" s="1"/>
      <c r="B11" s="56" t="s">
        <v>426</v>
      </c>
      <c r="C11" s="53" t="s">
        <v>427</v>
      </c>
      <c r="D11" s="53" t="s">
        <v>428</v>
      </c>
      <c r="E11" s="53" t="s">
        <v>425</v>
      </c>
      <c r="F11" s="53"/>
      <c r="G11" s="53"/>
      <c r="H11" s="1"/>
      <c r="I11" s="1"/>
      <c r="J11" s="1"/>
      <c r="K11" s="1"/>
      <c r="L11" s="1"/>
    </row>
    <row r="12" ht="19" customHeight="1" spans="1:12" x14ac:dyDescent="0.25">
      <c r="A12" s="1"/>
      <c r="B12" s="56" t="s">
        <v>429</v>
      </c>
      <c r="C12" s="53" t="s">
        <v>430</v>
      </c>
      <c r="D12" s="53" t="s">
        <v>431</v>
      </c>
      <c r="E12" s="53" t="s">
        <v>425</v>
      </c>
      <c r="F12" s="53" t="s">
        <v>107</v>
      </c>
      <c r="G12" s="53"/>
      <c r="H12" s="1"/>
      <c r="I12" s="1"/>
      <c r="J12" s="1"/>
      <c r="K12" s="1"/>
      <c r="L12" s="1"/>
    </row>
    <row r="13" ht="19" customHeight="1" spans="1:12" x14ac:dyDescent="0.25">
      <c r="A13" s="1"/>
      <c r="B13" s="56" t="s">
        <v>432</v>
      </c>
      <c r="C13" s="53" t="s">
        <v>433</v>
      </c>
      <c r="D13" s="53" t="s">
        <v>431</v>
      </c>
      <c r="E13" s="53" t="s">
        <v>434</v>
      </c>
      <c r="F13" s="53" t="s">
        <v>97</v>
      </c>
      <c r="G13" s="53"/>
      <c r="H13" s="1"/>
      <c r="I13" s="1"/>
      <c r="J13" s="1"/>
      <c r="K13" s="1"/>
      <c r="L13" s="1"/>
    </row>
    <row r="14" ht="19" customHeight="1" spans="1:12" x14ac:dyDescent="0.25">
      <c r="A14" s="1"/>
      <c r="B14" s="56" t="s">
        <v>435</v>
      </c>
      <c r="C14" s="53" t="s">
        <v>436</v>
      </c>
      <c r="D14" s="53" t="s">
        <v>437</v>
      </c>
      <c r="E14" s="53" t="s">
        <v>438</v>
      </c>
      <c r="F14" s="53" t="s">
        <v>94</v>
      </c>
      <c r="G14" s="53"/>
      <c r="H14" s="1"/>
      <c r="I14" s="1"/>
      <c r="J14" s="1"/>
      <c r="K14" s="1"/>
      <c r="L14" s="1"/>
    </row>
    <row r="15" ht="19" customHeight="1" spans="1:12" x14ac:dyDescent="0.25">
      <c r="A15" s="1"/>
      <c r="B15" s="56" t="s">
        <v>439</v>
      </c>
      <c r="C15" s="53" t="s">
        <v>440</v>
      </c>
      <c r="D15" s="53" t="s">
        <v>437</v>
      </c>
      <c r="E15" s="53" t="s">
        <v>441</v>
      </c>
      <c r="F15" s="53"/>
      <c r="G15" s="53"/>
      <c r="H15" s="1"/>
      <c r="I15" s="1"/>
      <c r="J15" s="1"/>
      <c r="K15" s="1"/>
      <c r="L15" s="1"/>
    </row>
    <row r="16" ht="19" customHeight="1" spans="1:12" x14ac:dyDescent="0.25">
      <c r="A16" s="1"/>
      <c r="B16" s="56" t="s">
        <v>442</v>
      </c>
      <c r="C16" s="53" t="s">
        <v>443</v>
      </c>
      <c r="D16" s="53" t="s">
        <v>431</v>
      </c>
      <c r="E16" s="53" t="s">
        <v>441</v>
      </c>
      <c r="F16" s="53" t="s">
        <v>94</v>
      </c>
      <c r="G16" s="53"/>
      <c r="H16" s="1"/>
      <c r="I16" s="1"/>
      <c r="J16" s="1"/>
      <c r="K16" s="1"/>
      <c r="L16" s="1"/>
    </row>
    <row r="17" ht="19" customHeight="1" spans="1:12" x14ac:dyDescent="0.25">
      <c r="A17" s="1"/>
      <c r="B17" s="56" t="s">
        <v>444</v>
      </c>
      <c r="C17" s="53" t="s">
        <v>445</v>
      </c>
      <c r="D17" s="53" t="s">
        <v>446</v>
      </c>
      <c r="E17" s="53" t="s">
        <v>441</v>
      </c>
      <c r="F17" s="53"/>
      <c r="G17" s="53"/>
      <c r="H17" s="1"/>
      <c r="I17" s="1"/>
      <c r="J17" s="1"/>
      <c r="K17" s="1"/>
      <c r="L17" s="1"/>
    </row>
    <row r="18" ht="19" customHeight="1" spans="1:12" x14ac:dyDescent="0.25">
      <c r="A18" s="1"/>
      <c r="B18" s="56" t="s">
        <v>447</v>
      </c>
      <c r="C18" s="53" t="s">
        <v>448</v>
      </c>
      <c r="D18" s="53" t="s">
        <v>449</v>
      </c>
      <c r="E18" s="53" t="s">
        <v>441</v>
      </c>
      <c r="F18" s="53" t="s">
        <v>105</v>
      </c>
      <c r="G18" s="53"/>
      <c r="H18" s="1"/>
      <c r="I18" s="1"/>
      <c r="J18" s="1"/>
      <c r="K18" s="1"/>
      <c r="L18" s="1"/>
    </row>
    <row r="19" ht="19" customHeight="1" spans="1:12" x14ac:dyDescent="0.25">
      <c r="A19" s="1"/>
      <c r="B19" s="56" t="s">
        <v>450</v>
      </c>
      <c r="C19" s="53" t="s">
        <v>451</v>
      </c>
      <c r="D19" s="53" t="s">
        <v>424</v>
      </c>
      <c r="E19" s="53" t="s">
        <v>441</v>
      </c>
      <c r="F19" s="53" t="s">
        <v>92</v>
      </c>
      <c r="G19" s="53"/>
      <c r="H19" s="1"/>
      <c r="I19" s="1"/>
      <c r="J19" s="1"/>
      <c r="K19" s="1"/>
      <c r="L19" s="1"/>
    </row>
    <row r="20" ht="19" customHeight="1" spans="1:12" x14ac:dyDescent="0.25">
      <c r="A20" s="1"/>
      <c r="B20" s="56" t="s">
        <v>452</v>
      </c>
      <c r="C20" s="53" t="s">
        <v>453</v>
      </c>
      <c r="D20" s="53" t="s">
        <v>428</v>
      </c>
      <c r="E20" s="53" t="s">
        <v>438</v>
      </c>
      <c r="F20" s="53"/>
      <c r="G20" s="53"/>
      <c r="H20" s="1"/>
      <c r="I20" s="1"/>
      <c r="J20" s="1"/>
      <c r="K20" s="1"/>
      <c r="L20" s="1"/>
    </row>
    <row r="21" ht="19" customHeight="1" spans="1:12" x14ac:dyDescent="0.25">
      <c r="A21" s="1"/>
      <c r="B21" s="56" t="s">
        <v>454</v>
      </c>
      <c r="C21" s="53" t="s">
        <v>455</v>
      </c>
      <c r="D21" s="53" t="s">
        <v>449</v>
      </c>
      <c r="E21" s="53" t="s">
        <v>456</v>
      </c>
      <c r="F21" s="53" t="s">
        <v>101</v>
      </c>
      <c r="G21" s="53"/>
      <c r="H21" s="1"/>
      <c r="I21" s="1"/>
      <c r="J21" s="1"/>
      <c r="K21" s="1"/>
      <c r="L21" s="1"/>
    </row>
    <row r="22" ht="19" customHeight="1" spans="1:12" x14ac:dyDescent="0.25">
      <c r="A22" s="1"/>
      <c r="B22" s="56" t="s">
        <v>457</v>
      </c>
      <c r="C22" s="53" t="s">
        <v>458</v>
      </c>
      <c r="D22" s="53" t="s">
        <v>431</v>
      </c>
      <c r="E22" s="53" t="s">
        <v>456</v>
      </c>
      <c r="F22" s="53" t="s">
        <v>101</v>
      </c>
      <c r="G22" s="53"/>
      <c r="H22" s="1"/>
      <c r="I22" s="1"/>
      <c r="J22" s="1"/>
      <c r="K22" s="1"/>
      <c r="L22" s="1"/>
    </row>
    <row r="23" ht="19" customHeight="1" spans="1:12" x14ac:dyDescent="0.25">
      <c r="A23" s="1"/>
      <c r="B23" s="56" t="s">
        <v>459</v>
      </c>
      <c r="C23" s="53" t="s">
        <v>460</v>
      </c>
      <c r="D23" s="53" t="s">
        <v>437</v>
      </c>
      <c r="E23" s="53" t="s">
        <v>438</v>
      </c>
      <c r="F23" s="53" t="s">
        <v>94</v>
      </c>
      <c r="G23" s="53"/>
      <c r="H23" s="1"/>
      <c r="I23" s="1"/>
      <c r="J23" s="1"/>
      <c r="K23" s="1"/>
      <c r="L23" s="1"/>
    </row>
    <row r="24" ht="19" customHeight="1" spans="1:12" x14ac:dyDescent="0.25">
      <c r="A24" s="1"/>
      <c r="B24" s="56" t="s">
        <v>461</v>
      </c>
      <c r="C24" s="53" t="s">
        <v>462</v>
      </c>
      <c r="D24" s="53" t="s">
        <v>431</v>
      </c>
      <c r="E24" s="53" t="s">
        <v>456</v>
      </c>
      <c r="F24" s="53" t="s">
        <v>101</v>
      </c>
      <c r="G24" s="53"/>
      <c r="H24" s="1"/>
      <c r="I24" s="1"/>
      <c r="J24" s="1"/>
      <c r="K24" s="1"/>
      <c r="L24" s="1"/>
    </row>
    <row r="25" ht="19" customHeight="1" spans="1:12" x14ac:dyDescent="0.25">
      <c r="A25" s="1"/>
      <c r="B25" s="56" t="s">
        <v>463</v>
      </c>
      <c r="C25" s="53" t="s">
        <v>464</v>
      </c>
      <c r="D25" s="53" t="s">
        <v>437</v>
      </c>
      <c r="E25" s="53" t="s">
        <v>465</v>
      </c>
      <c r="F25" s="53"/>
      <c r="G25" s="53"/>
      <c r="H25" s="1"/>
      <c r="I25" s="1"/>
      <c r="J25" s="1"/>
      <c r="K25" s="1"/>
      <c r="L25" s="1"/>
    </row>
    <row r="26" ht="19" customHeight="1" spans="1:12" x14ac:dyDescent="0.25">
      <c r="A26" s="1"/>
      <c r="B26" s="56"/>
      <c r="C26" s="53"/>
      <c r="D26" s="53"/>
      <c r="E26" s="53"/>
      <c r="F26" s="53"/>
      <c r="G26" s="53"/>
      <c r="H26" s="1"/>
      <c r="I26" s="1"/>
      <c r="J26" s="1"/>
      <c r="K26" s="1"/>
      <c r="L26" s="1"/>
    </row>
    <row r="27" ht="19" customHeight="1" spans="1:12" x14ac:dyDescent="0.25">
      <c r="A27" s="1"/>
      <c r="B27" s="56"/>
      <c r="C27" s="53"/>
      <c r="D27" s="53"/>
      <c r="E27" s="53"/>
      <c r="F27" s="53"/>
      <c r="G27" s="53"/>
      <c r="H27" s="1"/>
      <c r="I27" s="1"/>
      <c r="J27" s="1"/>
      <c r="K27" s="1"/>
      <c r="L27" s="1"/>
    </row>
    <row r="28" ht="19" customHeight="1" spans="1:12" x14ac:dyDescent="0.25">
      <c r="A28" s="1"/>
      <c r="B28" s="56"/>
      <c r="C28" s="53"/>
      <c r="D28" s="53"/>
      <c r="E28" s="53"/>
      <c r="F28" s="53"/>
      <c r="G28" s="53"/>
      <c r="H28" s="1"/>
      <c r="I28" s="1"/>
      <c r="J28" s="1"/>
      <c r="K28" s="1"/>
      <c r="L28" s="1"/>
    </row>
    <row r="29" ht="19" customHeight="1" spans="1:12" x14ac:dyDescent="0.25">
      <c r="A29" s="1"/>
      <c r="B29" s="56"/>
      <c r="C29" s="53"/>
      <c r="D29" s="53"/>
      <c r="E29" s="53"/>
      <c r="F29" s="53"/>
      <c r="G29" s="53"/>
      <c r="H29" s="1"/>
      <c r="I29" s="1"/>
      <c r="J29" s="1"/>
      <c r="K29" s="1"/>
      <c r="L29" s="1"/>
    </row>
    <row r="30" ht="19" customHeight="1" spans="1:12" x14ac:dyDescent="0.25">
      <c r="A30" s="1"/>
      <c r="B30" s="56"/>
      <c r="C30" s="53"/>
      <c r="D30" s="53"/>
      <c r="E30" s="53"/>
      <c r="F30" s="53"/>
      <c r="G30" s="53"/>
      <c r="H30" s="1"/>
      <c r="I30" s="1"/>
      <c r="J30" s="1"/>
      <c r="K30" s="1"/>
      <c r="L30" s="1"/>
    </row>
    <row r="31" ht="19" customHeight="1" spans="1:12" x14ac:dyDescent="0.25">
      <c r="A31" s="1"/>
      <c r="B31" s="56"/>
      <c r="C31" s="53"/>
      <c r="D31" s="53"/>
      <c r="E31" s="53"/>
      <c r="F31" s="53"/>
      <c r="G31" s="53"/>
      <c r="H31" s="1"/>
      <c r="I31" s="1"/>
      <c r="J31" s="1"/>
      <c r="K31" s="1"/>
      <c r="L31" s="1"/>
    </row>
    <row r="32" ht="19" customHeight="1" spans="1:12" x14ac:dyDescent="0.25">
      <c r="A32" s="1"/>
      <c r="B32" s="56"/>
      <c r="C32" s="53"/>
      <c r="D32" s="53"/>
      <c r="E32" s="53"/>
      <c r="F32" s="53"/>
      <c r="G32" s="53"/>
      <c r="H32" s="1"/>
      <c r="I32" s="1"/>
      <c r="J32" s="1"/>
      <c r="K32" s="1"/>
      <c r="L32" s="1"/>
    </row>
    <row r="33" ht="19" customHeight="1" spans="1:12" x14ac:dyDescent="0.25">
      <c r="A33" s="1"/>
      <c r="B33" s="56"/>
      <c r="C33" s="53"/>
      <c r="D33" s="53"/>
      <c r="E33" s="53"/>
      <c r="F33" s="53"/>
      <c r="G33" s="53"/>
      <c r="H33" s="1"/>
      <c r="I33" s="1"/>
      <c r="J33" s="1"/>
      <c r="K33" s="1"/>
      <c r="L33" s="1"/>
    </row>
    <row r="34" ht="19" customHeight="1" spans="1:12" x14ac:dyDescent="0.25">
      <c r="A34" s="1"/>
      <c r="B34" s="56"/>
      <c r="C34" s="53"/>
      <c r="D34" s="53"/>
      <c r="E34" s="53"/>
      <c r="F34" s="53"/>
      <c r="G34" s="53"/>
      <c r="H34" s="1"/>
      <c r="I34" s="1"/>
      <c r="J34" s="1"/>
      <c r="K34" s="1"/>
      <c r="L34" s="1"/>
    </row>
    <row r="35" ht="19" customHeight="1" spans="1:12" x14ac:dyDescent="0.25">
      <c r="A35" s="1"/>
      <c r="B35" s="56"/>
      <c r="C35" s="53"/>
      <c r="D35" s="53"/>
      <c r="E35" s="53"/>
      <c r="F35" s="53"/>
      <c r="G35" s="53"/>
      <c r="H35" s="1"/>
      <c r="I35" s="1"/>
      <c r="J35" s="1"/>
      <c r="K35" s="1"/>
      <c r="L35" s="1"/>
    </row>
    <row r="36" ht="19" customHeight="1" spans="1:12" x14ac:dyDescent="0.25">
      <c r="A36" s="1"/>
      <c r="B36" s="56"/>
      <c r="C36" s="53"/>
      <c r="D36" s="53"/>
      <c r="E36" s="53"/>
      <c r="F36" s="53"/>
      <c r="G36" s="53"/>
      <c r="H36" s="1"/>
      <c r="I36" s="1"/>
      <c r="J36" s="1"/>
      <c r="K36" s="1"/>
      <c r="L36" s="1"/>
    </row>
    <row r="37" ht="19" customHeight="1" spans="1:12" x14ac:dyDescent="0.25">
      <c r="A37" s="1"/>
      <c r="B37" s="56"/>
      <c r="C37" s="53"/>
      <c r="D37" s="53"/>
      <c r="E37" s="53"/>
      <c r="F37" s="53"/>
      <c r="G37" s="53"/>
      <c r="H37" s="1"/>
      <c r="I37" s="1"/>
      <c r="J37" s="1"/>
      <c r="K37" s="1"/>
      <c r="L37" s="1"/>
    </row>
    <row r="38" ht="19" customHeight="1" spans="1:12" x14ac:dyDescent="0.25">
      <c r="A38" s="1"/>
      <c r="B38" s="56"/>
      <c r="C38" s="53"/>
      <c r="D38" s="53"/>
      <c r="E38" s="53"/>
      <c r="F38" s="53"/>
      <c r="G38" s="53"/>
      <c r="H38" s="1"/>
      <c r="I38" s="1"/>
      <c r="J38" s="1"/>
      <c r="K38" s="1"/>
      <c r="L38" s="1"/>
    </row>
    <row r="39" ht="19" customHeight="1" spans="1:12" x14ac:dyDescent="0.25">
      <c r="A39" s="1"/>
      <c r="B39" s="56"/>
      <c r="C39" s="53"/>
      <c r="D39" s="53"/>
      <c r="E39" s="53"/>
      <c r="F39" s="53"/>
      <c r="G39" s="53"/>
      <c r="H39" s="1"/>
      <c r="I39" s="1"/>
      <c r="J39" s="1"/>
      <c r="K39" s="1"/>
      <c r="L39" s="1"/>
    </row>
    <row r="40" ht="19" customHeight="1" spans="1:12" x14ac:dyDescent="0.25">
      <c r="A40" s="1"/>
      <c r="B40" s="56"/>
      <c r="C40" s="53"/>
      <c r="D40" s="53"/>
      <c r="E40" s="53"/>
      <c r="F40" s="53"/>
      <c r="G40" s="53"/>
      <c r="H40" s="1"/>
      <c r="I40" s="1"/>
      <c r="J40" s="1"/>
      <c r="K40" s="1"/>
      <c r="L40" s="1"/>
    </row>
    <row r="41" spans="1:12" x14ac:dyDescent="0.25">
      <c r="A41" s="1"/>
      <c r="B41" s="1"/>
      <c r="C41" s="1"/>
      <c r="D41" s="1"/>
      <c r="E41" s="1"/>
      <c r="F41" s="1"/>
      <c r="G41" s="1"/>
      <c r="H41" s="1"/>
      <c r="I41" s="1"/>
      <c r="J41" s="1"/>
      <c r="K41" s="1"/>
      <c r="L41" s="1"/>
    </row>
    <row r="42" ht="18" customHeight="1" spans="1:12" x14ac:dyDescent="0.25">
      <c r="A42" s="1"/>
      <c r="B42" s="48" t="s">
        <v>466</v>
      </c>
      <c r="C42" s="48"/>
      <c r="D42" s="48"/>
      <c r="E42" s="48"/>
      <c r="F42" s="48"/>
      <c r="G42" s="48"/>
      <c r="H42" s="48"/>
      <c r="I42" s="48"/>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sheetData>
  <mergeCells count="3">
    <mergeCell ref="B2:J2"/>
    <mergeCell ref="B3:J3"/>
    <mergeCell ref="B42:I42"/>
  </mergeCells>
  <conditionalFormatting sqref="B6:G40">
    <cfRule type="expression" dxfId="110" priority="1">
      <formula>$C6="CEREMONY"</formula>
    </cfRule>
  </conditionalFormatting>
  <pageMargins left="0.4" right="0.4" top="0.5" bottom="0.5" header="0.2" footer="0.2"/>
  <pageSetup orientation="portrait" horizontalDpi="4294967295" verticalDpi="4294967295" scale="100"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N40"/>
  <sheetViews>
    <sheetView workbookViewId="0" showGridLines="0" zoomScale="100"/>
  </sheetViews>
  <sheetFormatPr defaultRowHeight="15" outlineLevelRow="0" outlineLevelCol="0" x14ac:dyDescent="55"/>
  <cols>
    <col min="1" max="1" width="3" customWidth="1"/>
    <col min="2" max="2" width="24" customWidth="1"/>
    <col min="3" max="3" width="15" customWidth="1"/>
    <col min="4" max="4" width="12" customWidth="1"/>
    <col min="5" max="5" width="10" customWidth="1"/>
    <col min="6" max="6" width="18" customWidth="1"/>
    <col min="7" max="7" width="13" customWidth="1"/>
    <col min="10" max="10" width="10" customWidth="1"/>
    <col min="12" max="12" width="26"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613</v>
      </c>
      <c r="C2" s="34"/>
      <c r="D2" s="34"/>
      <c r="E2" s="34"/>
      <c r="F2" s="34"/>
      <c r="G2" s="34"/>
      <c r="H2" s="34"/>
      <c r="I2" s="34"/>
      <c r="J2" s="34"/>
      <c r="K2" s="34"/>
      <c r="L2" s="34"/>
      <c r="M2" s="1"/>
      <c r="N2" s="1"/>
    </row>
    <row r="3" ht="18" customHeight="1" spans="1:14" x14ac:dyDescent="0.25">
      <c r="A3" s="1"/>
      <c r="B3" s="35" t="s">
        <v>614</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49" t="s">
        <v>615</v>
      </c>
      <c r="C5" s="49" t="s">
        <v>616</v>
      </c>
      <c r="D5" s="50" t="s">
        <v>617</v>
      </c>
      <c r="E5" s="51" t="s">
        <v>280</v>
      </c>
      <c r="F5" s="51" t="s">
        <v>618</v>
      </c>
      <c r="G5" s="51" t="s">
        <v>619</v>
      </c>
      <c r="H5" s="51" t="s">
        <v>620</v>
      </c>
      <c r="I5" s="51" t="s">
        <v>621</v>
      </c>
      <c r="J5" s="51" t="s">
        <v>622</v>
      </c>
      <c r="K5" s="51" t="s">
        <v>623</v>
      </c>
      <c r="L5" s="49" t="s">
        <v>91</v>
      </c>
      <c r="M5" s="1"/>
      <c r="N5" s="1"/>
    </row>
    <row r="6" ht="19" customHeight="1" spans="1:14" x14ac:dyDescent="0.25">
      <c r="A6" s="1"/>
      <c r="B6" s="52" t="s">
        <v>92</v>
      </c>
      <c r="C6" s="53" t="s">
        <v>59</v>
      </c>
      <c r="D6" s="54">
        <v>11000</v>
      </c>
      <c r="E6" s="56">
        <v>140</v>
      </c>
      <c r="F6" s="56" t="s">
        <v>624</v>
      </c>
      <c r="G6" s="56" t="s">
        <v>625</v>
      </c>
      <c r="H6" s="56">
        <v>5</v>
      </c>
      <c r="I6" s="56">
        <v>4</v>
      </c>
      <c r="J6" s="56">
        <v>5</v>
      </c>
      <c r="K6" s="109">
        <f>IF(B6="","",ROUND((H6+I6+J6)/3,1))</f>
      </c>
      <c r="L6" s="53"/>
      <c r="M6" s="1"/>
      <c r="N6" s="1"/>
    </row>
    <row r="7" ht="19" customHeight="1" spans="1:14" x14ac:dyDescent="0.25">
      <c r="A7" s="1"/>
      <c r="B7" s="52" t="s">
        <v>626</v>
      </c>
      <c r="C7" s="53" t="s">
        <v>59</v>
      </c>
      <c r="D7" s="54">
        <v>8500</v>
      </c>
      <c r="E7" s="56">
        <v>120</v>
      </c>
      <c r="F7" s="56" t="s">
        <v>627</v>
      </c>
      <c r="G7" s="56" t="s">
        <v>625</v>
      </c>
      <c r="H7" s="56">
        <v>4</v>
      </c>
      <c r="I7" s="56">
        <v>5</v>
      </c>
      <c r="J7" s="56">
        <v>4</v>
      </c>
      <c r="K7" s="110">
        <f>IF(B7="","",ROUND((H7+I7+J7)/3,1))</f>
      </c>
      <c r="L7" s="53"/>
      <c r="M7" s="1"/>
      <c r="N7" s="1"/>
    </row>
    <row r="8" ht="19" customHeight="1" spans="1:14" x14ac:dyDescent="0.25">
      <c r="A8" s="1"/>
      <c r="B8" s="52" t="s">
        <v>628</v>
      </c>
      <c r="C8" s="53" t="s">
        <v>59</v>
      </c>
      <c r="D8" s="54">
        <v>13500</v>
      </c>
      <c r="E8" s="56">
        <v>180</v>
      </c>
      <c r="F8" s="56" t="s">
        <v>624</v>
      </c>
      <c r="G8" s="56" t="s">
        <v>629</v>
      </c>
      <c r="H8" s="56">
        <v>5</v>
      </c>
      <c r="I8" s="56">
        <v>3</v>
      </c>
      <c r="J8" s="56">
        <v>4</v>
      </c>
      <c r="K8" s="109">
        <f>IF(B8="","",ROUND((H8+I8+J8)/3,1))</f>
      </c>
      <c r="L8" s="53"/>
      <c r="M8" s="1"/>
      <c r="N8" s="1"/>
    </row>
    <row r="9" ht="19" customHeight="1" spans="1:14" x14ac:dyDescent="0.25">
      <c r="A9" s="1"/>
      <c r="B9" s="52" t="s">
        <v>94</v>
      </c>
      <c r="C9" s="53" t="s">
        <v>630</v>
      </c>
      <c r="D9" s="54">
        <v>7800</v>
      </c>
      <c r="E9" s="56"/>
      <c r="F9" s="56" t="s">
        <v>531</v>
      </c>
      <c r="G9" s="56" t="s">
        <v>625</v>
      </c>
      <c r="H9" s="56">
        <v>4</v>
      </c>
      <c r="I9" s="56">
        <v>4</v>
      </c>
      <c r="J9" s="56">
        <v>5</v>
      </c>
      <c r="K9" s="110">
        <f>IF(B9="","",ROUND((H9+I9+J9)/3,1))</f>
      </c>
      <c r="L9" s="53"/>
      <c r="M9" s="1"/>
      <c r="N9" s="1"/>
    </row>
    <row r="10" ht="19" customHeight="1" spans="1:14" x14ac:dyDescent="0.25">
      <c r="A10" s="1"/>
      <c r="B10" s="52" t="s">
        <v>631</v>
      </c>
      <c r="C10" s="53" t="s">
        <v>630</v>
      </c>
      <c r="D10" s="54">
        <v>9200</v>
      </c>
      <c r="E10" s="56"/>
      <c r="F10" s="56" t="s">
        <v>531</v>
      </c>
      <c r="G10" s="56" t="s">
        <v>625</v>
      </c>
      <c r="H10" s="56">
        <v>5</v>
      </c>
      <c r="I10" s="56">
        <v>3</v>
      </c>
      <c r="J10" s="56">
        <v>4</v>
      </c>
      <c r="K10" s="109">
        <f>IF(B10="","",ROUND((H10+I10+J10)/3,1))</f>
      </c>
      <c r="L10" s="53"/>
      <c r="M10" s="1"/>
      <c r="N10" s="1"/>
    </row>
    <row r="11" ht="19" customHeight="1" spans="1:14" x14ac:dyDescent="0.25">
      <c r="A11" s="1"/>
      <c r="B11" s="52"/>
      <c r="C11" s="53"/>
      <c r="D11" s="54"/>
      <c r="E11" s="56"/>
      <c r="F11" s="56"/>
      <c r="G11" s="56"/>
      <c r="H11" s="56"/>
      <c r="I11" s="56"/>
      <c r="J11" s="56"/>
      <c r="K11" s="110">
        <f>IF(B11="","",ROUND((H11+I11+J11)/3,1))</f>
      </c>
      <c r="L11" s="53"/>
      <c r="M11" s="1"/>
      <c r="N11" s="1"/>
    </row>
    <row r="12" ht="19" customHeight="1" spans="1:14" x14ac:dyDescent="0.25">
      <c r="A12" s="1"/>
      <c r="B12" s="52"/>
      <c r="C12" s="53"/>
      <c r="D12" s="54"/>
      <c r="E12" s="56"/>
      <c r="F12" s="56"/>
      <c r="G12" s="56"/>
      <c r="H12" s="56"/>
      <c r="I12" s="56"/>
      <c r="J12" s="56"/>
      <c r="K12" s="109">
        <f>IF(B12="","",ROUND((H12+I12+J12)/3,1))</f>
      </c>
      <c r="L12" s="53"/>
      <c r="M12" s="1"/>
      <c r="N12" s="1"/>
    </row>
    <row r="13" ht="19" customHeight="1" spans="1:14" x14ac:dyDescent="0.25">
      <c r="A13" s="1"/>
      <c r="B13" s="52"/>
      <c r="C13" s="53"/>
      <c r="D13" s="54"/>
      <c r="E13" s="56"/>
      <c r="F13" s="56"/>
      <c r="G13" s="56"/>
      <c r="H13" s="56"/>
      <c r="I13" s="56"/>
      <c r="J13" s="56"/>
      <c r="K13" s="110">
        <f>IF(B13="","",ROUND((H13+I13+J13)/3,1))</f>
      </c>
      <c r="L13" s="53"/>
      <c r="M13" s="1"/>
      <c r="N13" s="1"/>
    </row>
    <row r="14" ht="19" customHeight="1" spans="1:14" x14ac:dyDescent="0.25">
      <c r="A14" s="1"/>
      <c r="B14" s="52"/>
      <c r="C14" s="53"/>
      <c r="D14" s="54"/>
      <c r="E14" s="56"/>
      <c r="F14" s="56"/>
      <c r="G14" s="56"/>
      <c r="H14" s="56"/>
      <c r="I14" s="56"/>
      <c r="J14" s="56"/>
      <c r="K14" s="109">
        <f>IF(B14="","",ROUND((H14+I14+J14)/3,1))</f>
      </c>
      <c r="L14" s="53"/>
      <c r="M14" s="1"/>
      <c r="N14" s="1"/>
    </row>
    <row r="15" ht="19" customHeight="1" spans="1:14" x14ac:dyDescent="0.25">
      <c r="A15" s="1"/>
      <c r="B15" s="52"/>
      <c r="C15" s="53"/>
      <c r="D15" s="54"/>
      <c r="E15" s="56"/>
      <c r="F15" s="56"/>
      <c r="G15" s="56"/>
      <c r="H15" s="56"/>
      <c r="I15" s="56"/>
      <c r="J15" s="56"/>
      <c r="K15" s="110">
        <f>IF(B15="","",ROUND((H15+I15+J15)/3,1))</f>
      </c>
      <c r="L15" s="53"/>
      <c r="M15" s="1"/>
      <c r="N15" s="1"/>
    </row>
    <row r="16" ht="19" customHeight="1" spans="1:14" x14ac:dyDescent="0.25">
      <c r="A16" s="1"/>
      <c r="B16" s="52"/>
      <c r="C16" s="53"/>
      <c r="D16" s="54"/>
      <c r="E16" s="56"/>
      <c r="F16" s="56"/>
      <c r="G16" s="56"/>
      <c r="H16" s="56"/>
      <c r="I16" s="56"/>
      <c r="J16" s="56"/>
      <c r="K16" s="109">
        <f>IF(B16="","",ROUND((H16+I16+J16)/3,1))</f>
      </c>
      <c r="L16" s="53"/>
      <c r="M16" s="1"/>
      <c r="N16" s="1"/>
    </row>
    <row r="17" ht="19" customHeight="1" spans="1:14" x14ac:dyDescent="0.25">
      <c r="A17" s="1"/>
      <c r="B17" s="52"/>
      <c r="C17" s="53"/>
      <c r="D17" s="54"/>
      <c r="E17" s="56"/>
      <c r="F17" s="56"/>
      <c r="G17" s="56"/>
      <c r="H17" s="56"/>
      <c r="I17" s="56"/>
      <c r="J17" s="56"/>
      <c r="K17" s="110">
        <f>IF(B17="","",ROUND((H17+I17+J17)/3,1))</f>
      </c>
      <c r="L17" s="53"/>
      <c r="M17" s="1"/>
      <c r="N17" s="1"/>
    </row>
    <row r="18" ht="19" customHeight="1" spans="1:14" x14ac:dyDescent="0.25">
      <c r="A18" s="1"/>
      <c r="B18" s="52"/>
      <c r="C18" s="53"/>
      <c r="D18" s="54"/>
      <c r="E18" s="56"/>
      <c r="F18" s="56"/>
      <c r="G18" s="56"/>
      <c r="H18" s="56"/>
      <c r="I18" s="56"/>
      <c r="J18" s="56"/>
      <c r="K18" s="109">
        <f>IF(B18="","",ROUND((H18+I18+J18)/3,1))</f>
      </c>
      <c r="L18" s="53"/>
      <c r="M18" s="1"/>
      <c r="N18" s="1"/>
    </row>
    <row r="19" ht="19" customHeight="1" spans="1:14" x14ac:dyDescent="0.25">
      <c r="A19" s="1"/>
      <c r="B19" s="52"/>
      <c r="C19" s="53"/>
      <c r="D19" s="54"/>
      <c r="E19" s="56"/>
      <c r="F19" s="56"/>
      <c r="G19" s="56"/>
      <c r="H19" s="56"/>
      <c r="I19" s="56"/>
      <c r="J19" s="56"/>
      <c r="K19" s="110">
        <f>IF(B19="","",ROUND((H19+I19+J19)/3,1))</f>
      </c>
      <c r="L19" s="53"/>
      <c r="M19" s="1"/>
      <c r="N19" s="1"/>
    </row>
    <row r="20" ht="19" customHeight="1" spans="1:14" x14ac:dyDescent="0.25">
      <c r="A20" s="1"/>
      <c r="B20" s="52"/>
      <c r="C20" s="53"/>
      <c r="D20" s="54"/>
      <c r="E20" s="56"/>
      <c r="F20" s="56"/>
      <c r="G20" s="56"/>
      <c r="H20" s="56"/>
      <c r="I20" s="56"/>
      <c r="J20" s="56"/>
      <c r="K20" s="109">
        <f>IF(B20="","",ROUND((H20+I20+J20)/3,1))</f>
      </c>
      <c r="L20" s="53"/>
      <c r="M20" s="1"/>
      <c r="N20" s="1"/>
    </row>
    <row r="21" spans="1:14" x14ac:dyDescent="0.25">
      <c r="A21" s="1"/>
      <c r="B21" s="1"/>
      <c r="C21" s="1"/>
      <c r="D21" s="1"/>
      <c r="E21" s="1"/>
      <c r="F21" s="1"/>
      <c r="G21" s="1"/>
      <c r="H21" s="1"/>
      <c r="I21" s="1"/>
      <c r="J21" s="1"/>
      <c r="K21" s="1"/>
      <c r="L21" s="1"/>
      <c r="M21" s="1"/>
      <c r="N21" s="1"/>
    </row>
    <row r="22" ht="18" customHeight="1" spans="1:14" x14ac:dyDescent="0.25">
      <c r="A22" s="1"/>
      <c r="B22" s="48" t="s">
        <v>632</v>
      </c>
      <c r="C22" s="48"/>
      <c r="D22" s="48"/>
      <c r="E22" s="48"/>
      <c r="F22" s="48"/>
      <c r="G22" s="48"/>
      <c r="H22" s="48"/>
      <c r="I22" s="48"/>
      <c r="J22" s="48"/>
      <c r="K22" s="48"/>
      <c r="L22" s="1"/>
      <c r="M22" s="1"/>
      <c r="N22" s="1"/>
    </row>
    <row r="23" spans="1:14" x14ac:dyDescent="0.25">
      <c r="A23" s="1"/>
      <c r="B23" s="1"/>
      <c r="C23" s="1"/>
      <c r="D23" s="1"/>
      <c r="E23" s="1"/>
      <c r="F23" s="1"/>
      <c r="G23" s="1"/>
      <c r="H23" s="1"/>
      <c r="I23" s="1"/>
      <c r="J23" s="1"/>
      <c r="K23" s="1"/>
      <c r="L23" s="1"/>
      <c r="M23" s="1"/>
      <c r="N23" s="1"/>
    </row>
    <row r="24" spans="1:14" x14ac:dyDescent="0.25">
      <c r="A24" s="1"/>
      <c r="B24" s="1"/>
      <c r="C24" s="1"/>
      <c r="D24" s="1"/>
      <c r="E24" s="1"/>
      <c r="F24" s="1"/>
      <c r="G24" s="1"/>
      <c r="H24" s="1"/>
      <c r="I24" s="1"/>
      <c r="J24" s="1"/>
      <c r="K24" s="1"/>
      <c r="L24" s="1"/>
      <c r="M24" s="1"/>
      <c r="N24" s="1"/>
    </row>
    <row r="25" spans="1:14" x14ac:dyDescent="0.25">
      <c r="A25" s="1"/>
      <c r="B25" s="1"/>
      <c r="C25" s="1"/>
      <c r="D25" s="1"/>
      <c r="E25" s="1"/>
      <c r="F25" s="1"/>
      <c r="G25" s="1"/>
      <c r="H25" s="1"/>
      <c r="I25" s="1"/>
      <c r="J25" s="1"/>
      <c r="K25" s="1"/>
      <c r="L25" s="1"/>
      <c r="M25" s="1"/>
      <c r="N25" s="1"/>
    </row>
    <row r="26" spans="1:14" x14ac:dyDescent="0.25">
      <c r="A26" s="1"/>
      <c r="B26" s="1"/>
      <c r="C26" s="1"/>
      <c r="D26" s="1"/>
      <c r="E26" s="1"/>
      <c r="F26" s="1"/>
      <c r="G26" s="1"/>
      <c r="H26" s="1"/>
      <c r="I26" s="1"/>
      <c r="J26" s="1"/>
      <c r="K26" s="1"/>
      <c r="L26" s="1"/>
      <c r="M26" s="1"/>
      <c r="N26" s="1"/>
    </row>
    <row r="27" spans="1:14" x14ac:dyDescent="0.25">
      <c r="A27" s="1"/>
      <c r="B27" s="1"/>
      <c r="C27" s="1"/>
      <c r="D27" s="1"/>
      <c r="E27" s="1"/>
      <c r="F27" s="1"/>
      <c r="G27" s="1"/>
      <c r="H27" s="1"/>
      <c r="I27" s="1"/>
      <c r="J27" s="1"/>
      <c r="K27" s="1"/>
      <c r="L27" s="1"/>
      <c r="M27" s="1"/>
      <c r="N27" s="1"/>
    </row>
    <row r="28" spans="1:14" x14ac:dyDescent="0.25">
      <c r="A28" s="1"/>
      <c r="B28" s="1"/>
      <c r="C28" s="1"/>
      <c r="D28" s="1"/>
      <c r="E28" s="1"/>
      <c r="F28" s="1"/>
      <c r="G28" s="1"/>
      <c r="H28" s="1"/>
      <c r="I28" s="1"/>
      <c r="J28" s="1"/>
      <c r="K28" s="1"/>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sheetData>
  <mergeCells count="3">
    <mergeCell ref="B2:L2"/>
    <mergeCell ref="B3:L3"/>
    <mergeCell ref="B22:K22"/>
  </mergeCells>
  <conditionalFormatting sqref="K6:K20">
    <cfRule type="expression" dxfId="120" priority="1">
      <formula>K6&gt;=4.5</formula>
    </cfRule>
  </conditionalFormatting>
  <conditionalFormatting sqref="G6:G20">
    <cfRule type="expression" dxfId="121" priority="1">
      <formula>G6="Available"</formula>
    </cfRule>
  </conditionalFormatting>
  <conditionalFormatting sqref="G6:G20">
    <cfRule type="expression" dxfId="122" priority="1">
      <formula>G6="Booked"</formula>
    </cfRule>
  </conditionalFormatting>
  <dataValidations count="4">
    <dataValidation type="list" allowBlank="1" sqref="G6:G20">
      <formula1>"Available,Waitlist,Booked,Not available"</formula1>
    </dataValidation>
    <dataValidation type="list" allowBlank="1" sqref="H6:H20">
      <formula1>"1,2,3,4,5"</formula1>
    </dataValidation>
    <dataValidation type="list" allowBlank="1" sqref="I6:I20">
      <formula1>"1,2,3,4,5"</formula1>
    </dataValidation>
    <dataValidation type="list" allowBlank="1" sqref="J6:J20">
      <formula1>"1,2,3,4,5"</formula1>
    </dataValidation>
  </dataValidation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J60"/>
  <sheetViews>
    <sheetView workbookViewId="0" showGridLines="0" zoomScale="100"/>
  </sheetViews>
  <sheetFormatPr defaultRowHeight="15" outlineLevelRow="0" outlineLevelCol="0" x14ac:dyDescent="55"/>
  <cols>
    <col min="1" max="1" width="3" customWidth="1"/>
    <col min="2" max="2" width="16" customWidth="1"/>
    <col min="3" max="3" width="40" customWidth="1"/>
    <col min="4" max="4" width="30" customWidth="1"/>
    <col min="5" max="5" width="12" customWidth="1"/>
    <col min="6" max="6" width="10" customWidth="1"/>
  </cols>
  <sheetData>
    <row r="1" ht="14" customHeight="1" spans="1:10" x14ac:dyDescent="0.25">
      <c r="A1" s="1"/>
      <c r="B1" s="1"/>
      <c r="C1" s="1"/>
      <c r="D1" s="1"/>
      <c r="E1" s="1"/>
      <c r="F1" s="1"/>
      <c r="G1" s="1"/>
      <c r="H1" s="1"/>
      <c r="I1" s="1"/>
      <c r="J1" s="1"/>
    </row>
    <row r="2" ht="38" customHeight="1" spans="1:10" x14ac:dyDescent="0.25">
      <c r="A2" s="1"/>
      <c r="B2" s="34" t="s">
        <v>633</v>
      </c>
      <c r="C2" s="34"/>
      <c r="D2" s="34"/>
      <c r="E2" s="34"/>
      <c r="F2" s="34"/>
      <c r="G2" s="34"/>
      <c r="H2" s="34"/>
      <c r="I2" s="1"/>
      <c r="J2" s="1"/>
    </row>
    <row r="3" ht="18" customHeight="1" spans="1:10" x14ac:dyDescent="0.25">
      <c r="A3" s="1"/>
      <c r="B3" s="35" t="s">
        <v>634</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240</v>
      </c>
      <c r="C5" s="49" t="s">
        <v>635</v>
      </c>
      <c r="D5" s="49" t="s">
        <v>636</v>
      </c>
      <c r="E5" s="51" t="s">
        <v>637</v>
      </c>
      <c r="F5" s="51" t="s">
        <v>326</v>
      </c>
      <c r="G5" s="1"/>
      <c r="H5" s="1"/>
      <c r="I5" s="1"/>
      <c r="J5" s="1"/>
    </row>
    <row r="6" ht="19" customHeight="1" spans="1:10" x14ac:dyDescent="0.25">
      <c r="A6" s="1"/>
      <c r="B6" s="52" t="s">
        <v>638</v>
      </c>
      <c r="C6" s="53" t="s">
        <v>639</v>
      </c>
      <c r="D6" s="53" t="s">
        <v>531</v>
      </c>
      <c r="E6" s="56" t="s">
        <v>96</v>
      </c>
      <c r="F6" s="56" t="s">
        <v>93</v>
      </c>
      <c r="G6" s="1"/>
      <c r="H6" s="1"/>
      <c r="I6" s="1"/>
      <c r="J6" s="1"/>
    </row>
    <row r="7" ht="19" customHeight="1" spans="1:10" x14ac:dyDescent="0.25">
      <c r="A7" s="1"/>
      <c r="B7" s="52" t="s">
        <v>638</v>
      </c>
      <c r="C7" s="53" t="s">
        <v>640</v>
      </c>
      <c r="D7" s="53" t="s">
        <v>641</v>
      </c>
      <c r="E7" s="56" t="s">
        <v>96</v>
      </c>
      <c r="F7" s="56" t="s">
        <v>93</v>
      </c>
      <c r="G7" s="1"/>
      <c r="H7" s="1"/>
      <c r="I7" s="1"/>
      <c r="J7" s="1"/>
    </row>
    <row r="8" ht="19" customHeight="1" spans="1:10" x14ac:dyDescent="0.25">
      <c r="A8" s="1"/>
      <c r="B8" s="52" t="s">
        <v>638</v>
      </c>
      <c r="C8" s="53" t="s">
        <v>642</v>
      </c>
      <c r="D8" s="53" t="s">
        <v>531</v>
      </c>
      <c r="E8" s="56" t="s">
        <v>96</v>
      </c>
      <c r="F8" s="56" t="s">
        <v>93</v>
      </c>
      <c r="G8" s="1"/>
      <c r="H8" s="1"/>
      <c r="I8" s="1"/>
      <c r="J8" s="1"/>
    </row>
    <row r="9" ht="19" customHeight="1" spans="1:10" x14ac:dyDescent="0.25">
      <c r="A9" s="1"/>
      <c r="B9" s="52" t="s">
        <v>638</v>
      </c>
      <c r="C9" s="53" t="s">
        <v>643</v>
      </c>
      <c r="D9" s="53" t="s">
        <v>644</v>
      </c>
      <c r="E9" s="56" t="s">
        <v>96</v>
      </c>
      <c r="F9" s="56" t="s">
        <v>93</v>
      </c>
      <c r="G9" s="1"/>
      <c r="H9" s="1"/>
      <c r="I9" s="1"/>
      <c r="J9" s="1"/>
    </row>
    <row r="10" ht="19" customHeight="1" spans="1:10" x14ac:dyDescent="0.25">
      <c r="A10" s="1"/>
      <c r="B10" s="52" t="s">
        <v>577</v>
      </c>
      <c r="C10" s="53" t="s">
        <v>645</v>
      </c>
      <c r="D10" s="53" t="s">
        <v>646</v>
      </c>
      <c r="E10" s="56" t="s">
        <v>96</v>
      </c>
      <c r="F10" s="56" t="s">
        <v>93</v>
      </c>
      <c r="G10" s="1"/>
      <c r="H10" s="1"/>
      <c r="I10" s="1"/>
      <c r="J10" s="1"/>
    </row>
    <row r="11" ht="19" customHeight="1" spans="1:10" x14ac:dyDescent="0.25">
      <c r="A11" s="1"/>
      <c r="B11" s="52" t="s">
        <v>577</v>
      </c>
      <c r="C11" s="53" t="s">
        <v>647</v>
      </c>
      <c r="D11" s="53" t="s">
        <v>449</v>
      </c>
      <c r="E11" s="56" t="s">
        <v>96</v>
      </c>
      <c r="F11" s="56" t="s">
        <v>93</v>
      </c>
      <c r="G11" s="1"/>
      <c r="H11" s="1"/>
      <c r="I11" s="1"/>
      <c r="J11" s="1"/>
    </row>
    <row r="12" ht="19" customHeight="1" spans="1:10" x14ac:dyDescent="0.25">
      <c r="A12" s="1"/>
      <c r="B12" s="52" t="s">
        <v>577</v>
      </c>
      <c r="C12" s="53" t="s">
        <v>648</v>
      </c>
      <c r="D12" s="53" t="s">
        <v>449</v>
      </c>
      <c r="E12" s="56" t="s">
        <v>96</v>
      </c>
      <c r="F12" s="56" t="s">
        <v>93</v>
      </c>
      <c r="G12" s="1"/>
      <c r="H12" s="1"/>
      <c r="I12" s="1"/>
      <c r="J12" s="1"/>
    </row>
    <row r="13" ht="19" customHeight="1" spans="1:10" x14ac:dyDescent="0.25">
      <c r="A13" s="1"/>
      <c r="B13" s="52" t="s">
        <v>577</v>
      </c>
      <c r="C13" s="53" t="s">
        <v>649</v>
      </c>
      <c r="D13" s="53" t="s">
        <v>449</v>
      </c>
      <c r="E13" s="56" t="s">
        <v>96</v>
      </c>
      <c r="F13" s="56" t="s">
        <v>93</v>
      </c>
      <c r="G13" s="1"/>
      <c r="H13" s="1"/>
      <c r="I13" s="1"/>
      <c r="J13" s="1"/>
    </row>
    <row r="14" ht="19" customHeight="1" spans="1:10" x14ac:dyDescent="0.25">
      <c r="A14" s="1"/>
      <c r="B14" s="52" t="s">
        <v>577</v>
      </c>
      <c r="C14" s="53" t="s">
        <v>650</v>
      </c>
      <c r="D14" s="53" t="s">
        <v>449</v>
      </c>
      <c r="E14" s="56" t="s">
        <v>96</v>
      </c>
      <c r="F14" s="56" t="s">
        <v>93</v>
      </c>
      <c r="G14" s="1"/>
      <c r="H14" s="1"/>
      <c r="I14" s="1"/>
      <c r="J14" s="1"/>
    </row>
    <row r="15" ht="19" customHeight="1" spans="1:10" x14ac:dyDescent="0.25">
      <c r="A15" s="1"/>
      <c r="B15" s="52" t="s">
        <v>651</v>
      </c>
      <c r="C15" s="53" t="s">
        <v>652</v>
      </c>
      <c r="D15" s="53" t="s">
        <v>653</v>
      </c>
      <c r="E15" s="56" t="s">
        <v>96</v>
      </c>
      <c r="F15" s="56" t="s">
        <v>93</v>
      </c>
      <c r="G15" s="1"/>
      <c r="H15" s="1"/>
      <c r="I15" s="1"/>
      <c r="J15" s="1"/>
    </row>
    <row r="16" ht="19" customHeight="1" spans="1:10" x14ac:dyDescent="0.25">
      <c r="A16" s="1"/>
      <c r="B16" s="52" t="s">
        <v>651</v>
      </c>
      <c r="C16" s="53" t="s">
        <v>654</v>
      </c>
      <c r="D16" s="53" t="s">
        <v>655</v>
      </c>
      <c r="E16" s="56" t="s">
        <v>96</v>
      </c>
      <c r="F16" s="56" t="s">
        <v>93</v>
      </c>
      <c r="G16" s="1"/>
      <c r="H16" s="1"/>
      <c r="I16" s="1"/>
      <c r="J16" s="1"/>
    </row>
    <row r="17" ht="19" customHeight="1" spans="1:10" x14ac:dyDescent="0.25">
      <c r="A17" s="1"/>
      <c r="B17" s="52" t="s">
        <v>651</v>
      </c>
      <c r="C17" s="53" t="s">
        <v>656</v>
      </c>
      <c r="D17" s="53" t="s">
        <v>655</v>
      </c>
      <c r="E17" s="56" t="s">
        <v>96</v>
      </c>
      <c r="F17" s="56" t="s">
        <v>93</v>
      </c>
      <c r="G17" s="1"/>
      <c r="H17" s="1"/>
      <c r="I17" s="1"/>
      <c r="J17" s="1"/>
    </row>
    <row r="18" ht="19" customHeight="1" spans="1:10" x14ac:dyDescent="0.25">
      <c r="A18" s="1"/>
      <c r="B18" s="52" t="s">
        <v>651</v>
      </c>
      <c r="C18" s="53" t="s">
        <v>657</v>
      </c>
      <c r="D18" s="53" t="s">
        <v>657</v>
      </c>
      <c r="E18" s="56" t="s">
        <v>96</v>
      </c>
      <c r="F18" s="56" t="s">
        <v>93</v>
      </c>
      <c r="G18" s="1"/>
      <c r="H18" s="1"/>
      <c r="I18" s="1"/>
      <c r="J18" s="1"/>
    </row>
    <row r="19" ht="19" customHeight="1" spans="1:10" x14ac:dyDescent="0.25">
      <c r="A19" s="1"/>
      <c r="B19" s="52" t="s">
        <v>651</v>
      </c>
      <c r="C19" s="53" t="s">
        <v>658</v>
      </c>
      <c r="D19" s="53" t="s">
        <v>431</v>
      </c>
      <c r="E19" s="56" t="s">
        <v>96</v>
      </c>
      <c r="F19" s="56" t="s">
        <v>93</v>
      </c>
      <c r="G19" s="1"/>
      <c r="H19" s="1"/>
      <c r="I19" s="1"/>
      <c r="J19" s="1"/>
    </row>
    <row r="20" ht="19" customHeight="1" spans="1:10" x14ac:dyDescent="0.25">
      <c r="A20" s="1"/>
      <c r="B20" s="52" t="s">
        <v>294</v>
      </c>
      <c r="C20" s="53" t="s">
        <v>659</v>
      </c>
      <c r="D20" s="53" t="s">
        <v>660</v>
      </c>
      <c r="E20" s="56" t="s">
        <v>96</v>
      </c>
      <c r="F20" s="56" t="s">
        <v>93</v>
      </c>
      <c r="G20" s="1"/>
      <c r="H20" s="1"/>
      <c r="I20" s="1"/>
      <c r="J20" s="1"/>
    </row>
    <row r="21" ht="19" customHeight="1" spans="1:10" x14ac:dyDescent="0.25">
      <c r="A21" s="1"/>
      <c r="B21" s="52" t="s">
        <v>294</v>
      </c>
      <c r="C21" s="53" t="s">
        <v>661</v>
      </c>
      <c r="D21" s="53" t="s">
        <v>531</v>
      </c>
      <c r="E21" s="56" t="s">
        <v>96</v>
      </c>
      <c r="F21" s="56" t="s">
        <v>93</v>
      </c>
      <c r="G21" s="1"/>
      <c r="H21" s="1"/>
      <c r="I21" s="1"/>
      <c r="J21" s="1"/>
    </row>
    <row r="22" ht="19" customHeight="1" spans="1:10" x14ac:dyDescent="0.25">
      <c r="A22" s="1"/>
      <c r="B22" s="52" t="s">
        <v>294</v>
      </c>
      <c r="C22" s="53" t="s">
        <v>662</v>
      </c>
      <c r="D22" s="53" t="s">
        <v>531</v>
      </c>
      <c r="E22" s="56" t="s">
        <v>96</v>
      </c>
      <c r="F22" s="56" t="s">
        <v>93</v>
      </c>
      <c r="G22" s="1"/>
      <c r="H22" s="1"/>
      <c r="I22" s="1"/>
      <c r="J22" s="1"/>
    </row>
    <row r="23" ht="19" customHeight="1" spans="1:10" x14ac:dyDescent="0.25">
      <c r="A23" s="1"/>
      <c r="B23" s="52" t="s">
        <v>449</v>
      </c>
      <c r="C23" s="53" t="s">
        <v>663</v>
      </c>
      <c r="D23" s="53" t="s">
        <v>449</v>
      </c>
      <c r="E23" s="56" t="s">
        <v>96</v>
      </c>
      <c r="F23" s="56" t="s">
        <v>93</v>
      </c>
      <c r="G23" s="1"/>
      <c r="H23" s="1"/>
      <c r="I23" s="1"/>
      <c r="J23" s="1"/>
    </row>
    <row r="24" ht="19" customHeight="1" spans="1:10" x14ac:dyDescent="0.25">
      <c r="A24" s="1"/>
      <c r="B24" s="52" t="s">
        <v>449</v>
      </c>
      <c r="C24" s="53" t="s">
        <v>664</v>
      </c>
      <c r="D24" s="53" t="s">
        <v>449</v>
      </c>
      <c r="E24" s="56" t="s">
        <v>96</v>
      </c>
      <c r="F24" s="56" t="s">
        <v>93</v>
      </c>
      <c r="G24" s="1"/>
      <c r="H24" s="1"/>
      <c r="I24" s="1"/>
      <c r="J24" s="1"/>
    </row>
    <row r="25" ht="19" customHeight="1" spans="1:10" x14ac:dyDescent="0.25">
      <c r="A25" s="1"/>
      <c r="B25" s="52" t="s">
        <v>665</v>
      </c>
      <c r="C25" s="53" t="s">
        <v>666</v>
      </c>
      <c r="D25" s="53" t="s">
        <v>531</v>
      </c>
      <c r="E25" s="56" t="s">
        <v>96</v>
      </c>
      <c r="F25" s="56" t="s">
        <v>93</v>
      </c>
      <c r="G25" s="1"/>
      <c r="H25" s="1"/>
      <c r="I25" s="1"/>
      <c r="J25" s="1"/>
    </row>
    <row r="26" ht="19" customHeight="1" spans="1:10" x14ac:dyDescent="0.25">
      <c r="A26" s="1"/>
      <c r="B26" s="52" t="s">
        <v>665</v>
      </c>
      <c r="C26" s="53" t="s">
        <v>667</v>
      </c>
      <c r="D26" s="53" t="s">
        <v>531</v>
      </c>
      <c r="E26" s="56" t="s">
        <v>96</v>
      </c>
      <c r="F26" s="56" t="s">
        <v>93</v>
      </c>
      <c r="G26" s="1"/>
      <c r="H26" s="1"/>
      <c r="I26" s="1"/>
      <c r="J26" s="1"/>
    </row>
    <row r="27" ht="19" customHeight="1" spans="1:10" x14ac:dyDescent="0.25">
      <c r="A27" s="1"/>
      <c r="B27" s="52" t="s">
        <v>665</v>
      </c>
      <c r="C27" s="53" t="s">
        <v>668</v>
      </c>
      <c r="D27" s="53" t="s">
        <v>531</v>
      </c>
      <c r="E27" s="56" t="s">
        <v>93</v>
      </c>
      <c r="F27" s="56" t="s">
        <v>93</v>
      </c>
      <c r="G27" s="1"/>
      <c r="H27" s="1"/>
      <c r="I27" s="1"/>
      <c r="J27" s="1"/>
    </row>
    <row r="28" ht="19" customHeight="1" spans="1:10" x14ac:dyDescent="0.25">
      <c r="A28" s="1"/>
      <c r="B28" s="52" t="s">
        <v>582</v>
      </c>
      <c r="C28" s="53" t="s">
        <v>669</v>
      </c>
      <c r="D28" s="53" t="s">
        <v>431</v>
      </c>
      <c r="E28" s="56" t="s">
        <v>96</v>
      </c>
      <c r="F28" s="56" t="s">
        <v>93</v>
      </c>
      <c r="G28" s="1"/>
      <c r="H28" s="1"/>
      <c r="I28" s="1"/>
      <c r="J28" s="1"/>
    </row>
    <row r="29" ht="19" customHeight="1" spans="1:10" x14ac:dyDescent="0.25">
      <c r="A29" s="1"/>
      <c r="B29" s="52" t="s">
        <v>582</v>
      </c>
      <c r="C29" s="53" t="s">
        <v>448</v>
      </c>
      <c r="D29" s="53" t="s">
        <v>449</v>
      </c>
      <c r="E29" s="56" t="s">
        <v>96</v>
      </c>
      <c r="F29" s="56" t="s">
        <v>93</v>
      </c>
      <c r="G29" s="1"/>
      <c r="H29" s="1"/>
      <c r="I29" s="1"/>
      <c r="J29" s="1"/>
    </row>
    <row r="30" ht="19" customHeight="1" spans="1:10" x14ac:dyDescent="0.25">
      <c r="A30" s="1"/>
      <c r="B30" s="52" t="s">
        <v>582</v>
      </c>
      <c r="C30" s="53" t="s">
        <v>455</v>
      </c>
      <c r="D30" s="53" t="s">
        <v>449</v>
      </c>
      <c r="E30" s="56" t="s">
        <v>96</v>
      </c>
      <c r="F30" s="56" t="s">
        <v>93</v>
      </c>
      <c r="G30" s="1"/>
      <c r="H30" s="1"/>
      <c r="I30" s="1"/>
      <c r="J30" s="1"/>
    </row>
    <row r="31" ht="19" customHeight="1" spans="1:10" x14ac:dyDescent="0.25">
      <c r="A31" s="1"/>
      <c r="B31" s="52" t="s">
        <v>582</v>
      </c>
      <c r="C31" s="53" t="s">
        <v>670</v>
      </c>
      <c r="D31" s="53" t="s">
        <v>431</v>
      </c>
      <c r="E31" s="56" t="s">
        <v>96</v>
      </c>
      <c r="F31" s="56" t="s">
        <v>93</v>
      </c>
      <c r="G31" s="1"/>
      <c r="H31" s="1"/>
      <c r="I31" s="1"/>
      <c r="J31" s="1"/>
    </row>
    <row r="32" ht="19" customHeight="1" spans="1:10" x14ac:dyDescent="0.25">
      <c r="A32" s="1"/>
      <c r="B32" s="52" t="s">
        <v>582</v>
      </c>
      <c r="C32" s="53" t="s">
        <v>671</v>
      </c>
      <c r="D32" s="53" t="s">
        <v>431</v>
      </c>
      <c r="E32" s="56" t="s">
        <v>93</v>
      </c>
      <c r="F32" s="56" t="s">
        <v>93</v>
      </c>
      <c r="G32" s="1"/>
      <c r="H32" s="1"/>
      <c r="I32" s="1"/>
      <c r="J32" s="1"/>
    </row>
    <row r="33" ht="19" customHeight="1" spans="1:10" x14ac:dyDescent="0.25">
      <c r="A33" s="1"/>
      <c r="B33" s="52"/>
      <c r="C33" s="53"/>
      <c r="D33" s="53"/>
      <c r="E33" s="56"/>
      <c r="F33" s="56"/>
      <c r="G33" s="1"/>
      <c r="H33" s="1"/>
      <c r="I33" s="1"/>
      <c r="J33" s="1"/>
    </row>
    <row r="34" ht="19" customHeight="1" spans="1:10" x14ac:dyDescent="0.25">
      <c r="A34" s="1"/>
      <c r="B34" s="52"/>
      <c r="C34" s="53"/>
      <c r="D34" s="53"/>
      <c r="E34" s="56"/>
      <c r="F34" s="56"/>
      <c r="G34" s="1"/>
      <c r="H34" s="1"/>
      <c r="I34" s="1"/>
      <c r="J34" s="1"/>
    </row>
    <row r="35" ht="19" customHeight="1" spans="1:10" x14ac:dyDescent="0.25">
      <c r="A35" s="1"/>
      <c r="B35" s="52"/>
      <c r="C35" s="53"/>
      <c r="D35" s="53"/>
      <c r="E35" s="56"/>
      <c r="F35" s="56"/>
      <c r="G35" s="1"/>
      <c r="H35" s="1"/>
      <c r="I35" s="1"/>
      <c r="J35" s="1"/>
    </row>
    <row r="36" ht="19" customHeight="1" spans="1:10" x14ac:dyDescent="0.25">
      <c r="A36" s="1"/>
      <c r="B36" s="52"/>
      <c r="C36" s="53"/>
      <c r="D36" s="53"/>
      <c r="E36" s="56"/>
      <c r="F36" s="56"/>
      <c r="G36" s="1"/>
      <c r="H36" s="1"/>
      <c r="I36" s="1"/>
      <c r="J36" s="1"/>
    </row>
    <row r="37" ht="19" customHeight="1" spans="1:10" x14ac:dyDescent="0.25">
      <c r="A37" s="1"/>
      <c r="B37" s="52"/>
      <c r="C37" s="53"/>
      <c r="D37" s="53"/>
      <c r="E37" s="56"/>
      <c r="F37" s="56"/>
      <c r="G37" s="1"/>
      <c r="H37" s="1"/>
      <c r="I37" s="1"/>
      <c r="J37" s="1"/>
    </row>
    <row r="38" ht="19" customHeight="1" spans="1:10" x14ac:dyDescent="0.25">
      <c r="A38" s="1"/>
      <c r="B38" s="52"/>
      <c r="C38" s="53"/>
      <c r="D38" s="53"/>
      <c r="E38" s="56"/>
      <c r="F38" s="56"/>
      <c r="G38" s="1"/>
      <c r="H38" s="1"/>
      <c r="I38" s="1"/>
      <c r="J38" s="1"/>
    </row>
    <row r="39" ht="19" customHeight="1" spans="1:10" x14ac:dyDescent="0.25">
      <c r="A39" s="1"/>
      <c r="B39" s="52"/>
      <c r="C39" s="53"/>
      <c r="D39" s="53"/>
      <c r="E39" s="56"/>
      <c r="F39" s="56"/>
      <c r="G39" s="1"/>
      <c r="H39" s="1"/>
      <c r="I39" s="1"/>
      <c r="J39" s="1"/>
    </row>
    <row r="40" ht="19" customHeight="1" spans="1:10" x14ac:dyDescent="0.25">
      <c r="A40" s="1"/>
      <c r="B40" s="52"/>
      <c r="C40" s="53"/>
      <c r="D40" s="53"/>
      <c r="E40" s="56"/>
      <c r="F40" s="56"/>
      <c r="G40" s="1"/>
      <c r="H40" s="1"/>
      <c r="I40" s="1"/>
      <c r="J40" s="1"/>
    </row>
    <row r="41" ht="19" customHeight="1" spans="1:10" x14ac:dyDescent="0.25">
      <c r="A41" s="1"/>
      <c r="B41" s="52"/>
      <c r="C41" s="53"/>
      <c r="D41" s="53"/>
      <c r="E41" s="56"/>
      <c r="F41" s="56"/>
      <c r="G41" s="1"/>
      <c r="H41" s="1"/>
      <c r="I41" s="1"/>
      <c r="J41" s="1"/>
    </row>
    <row r="42" ht="19" customHeight="1" spans="1:10" x14ac:dyDescent="0.25">
      <c r="A42" s="1"/>
      <c r="B42" s="52"/>
      <c r="C42" s="53"/>
      <c r="D42" s="53"/>
      <c r="E42" s="56"/>
      <c r="F42" s="56"/>
      <c r="G42" s="1"/>
      <c r="H42" s="1"/>
      <c r="I42" s="1"/>
      <c r="J42" s="1"/>
    </row>
    <row r="43" ht="19" customHeight="1" spans="1:10" x14ac:dyDescent="0.25">
      <c r="A43" s="1"/>
      <c r="B43" s="52"/>
      <c r="C43" s="53"/>
      <c r="D43" s="53"/>
      <c r="E43" s="56"/>
      <c r="F43" s="56"/>
      <c r="G43" s="1"/>
      <c r="H43" s="1"/>
      <c r="I43" s="1"/>
      <c r="J43" s="1"/>
    </row>
    <row r="44" ht="19" customHeight="1" spans="1:10" x14ac:dyDescent="0.25">
      <c r="A44" s="1"/>
      <c r="B44" s="52"/>
      <c r="C44" s="53"/>
      <c r="D44" s="53"/>
      <c r="E44" s="56"/>
      <c r="F44" s="56"/>
      <c r="G44" s="1"/>
      <c r="H44" s="1"/>
      <c r="I44" s="1"/>
      <c r="J44" s="1"/>
    </row>
    <row r="45" ht="19" customHeight="1" spans="1:10" x14ac:dyDescent="0.25">
      <c r="A45" s="1"/>
      <c r="B45" s="52"/>
      <c r="C45" s="53"/>
      <c r="D45" s="53"/>
      <c r="E45" s="56"/>
      <c r="F45" s="56"/>
      <c r="G45" s="1"/>
      <c r="H45" s="1"/>
      <c r="I45" s="1"/>
      <c r="J45" s="1"/>
    </row>
    <row r="46" spans="1:10" x14ac:dyDescent="0.25">
      <c r="A46" s="1"/>
      <c r="B46" s="1"/>
      <c r="C46" s="1"/>
      <c r="D46" s="1"/>
      <c r="E46" s="1"/>
      <c r="F46" s="1"/>
      <c r="G46" s="1"/>
      <c r="H46" s="1"/>
      <c r="I46" s="1"/>
      <c r="J46" s="1"/>
    </row>
    <row r="47" ht="18" customHeight="1" spans="1:10" x14ac:dyDescent="0.25">
      <c r="A47" s="1"/>
      <c r="B47" s="48" t="s">
        <v>672</v>
      </c>
      <c r="C47" s="48"/>
      <c r="D47" s="48"/>
      <c r="E47" s="48"/>
      <c r="F47" s="48"/>
      <c r="G47" s="48"/>
      <c r="H47" s="48"/>
      <c r="I47" s="48"/>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row r="50" spans="1:10" x14ac:dyDescent="0.25">
      <c r="A50" s="1"/>
      <c r="B50" s="1"/>
      <c r="C50" s="1"/>
      <c r="D50" s="1"/>
      <c r="E50" s="1"/>
      <c r="F50" s="1"/>
      <c r="G50" s="1"/>
      <c r="H50" s="1"/>
      <c r="I50" s="1"/>
      <c r="J50" s="1"/>
    </row>
    <row r="51" spans="1:10" x14ac:dyDescent="0.25">
      <c r="A51" s="1"/>
      <c r="B51" s="1"/>
      <c r="C51" s="1"/>
      <c r="D51" s="1"/>
      <c r="E51" s="1"/>
      <c r="F51" s="1"/>
      <c r="G51" s="1"/>
      <c r="H51" s="1"/>
      <c r="I51" s="1"/>
      <c r="J51" s="1"/>
    </row>
    <row r="52" spans="1:10" x14ac:dyDescent="0.25">
      <c r="A52" s="1"/>
      <c r="B52" s="1"/>
      <c r="C52" s="1"/>
      <c r="D52" s="1"/>
      <c r="E52" s="1"/>
      <c r="F52" s="1"/>
      <c r="G52" s="1"/>
      <c r="H52" s="1"/>
      <c r="I52" s="1"/>
      <c r="J52" s="1"/>
    </row>
    <row r="53" spans="1:10" x14ac:dyDescent="0.25">
      <c r="A53" s="1"/>
      <c r="B53" s="1"/>
      <c r="C53" s="1"/>
      <c r="D53" s="1"/>
      <c r="E53" s="1"/>
      <c r="F53" s="1"/>
      <c r="G53" s="1"/>
      <c r="H53" s="1"/>
      <c r="I53" s="1"/>
      <c r="J53" s="1"/>
    </row>
    <row r="54" spans="1:10" x14ac:dyDescent="0.25">
      <c r="A54" s="1"/>
      <c r="B54" s="1"/>
      <c r="C54" s="1"/>
      <c r="D54" s="1"/>
      <c r="E54" s="1"/>
      <c r="F54" s="1"/>
      <c r="G54" s="1"/>
      <c r="H54" s="1"/>
      <c r="I54" s="1"/>
      <c r="J54" s="1"/>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mergeCells count="3">
    <mergeCell ref="B2:H2"/>
    <mergeCell ref="B3:H3"/>
    <mergeCell ref="B47:I47"/>
  </mergeCells>
  <conditionalFormatting sqref="F6:F45">
    <cfRule type="expression" dxfId="123" priority="1">
      <formula>F6="Yes"</formula>
    </cfRule>
  </conditionalFormatting>
  <conditionalFormatting sqref="B6:F45">
    <cfRule type="expression" dxfId="124" priority="1">
      <formula>AND($E6="Yes",$F6&lt;&gt;"Yes")</formula>
    </cfRule>
  </conditionalFormatting>
  <dataValidations count="2">
    <dataValidation type="list" allowBlank="1" sqref="E6:E45">
      <formula1>"Yes,No"</formula1>
    </dataValidation>
    <dataValidation type="list" allowBlank="1" sqref="F6:F45">
      <formula1>"Yes,No"</formula1>
    </dataValidation>
  </dataValidations>
  <pageMargins left="0.4" right="0.4" top="0.5" bottom="0.5" header="0.2" footer="0.2"/>
  <pageSetup orientation="portrait"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J125"/>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26" customWidth="1"/>
    <col min="3" max="3" width="30" customWidth="1"/>
    <col min="4" max="4" width="12" customWidth="1"/>
    <col min="5" max="5" width="13" customWidth="1"/>
    <col min="6" max="6" width="14" customWidth="1"/>
    <col min="7" max="7" width="13" customWidth="1"/>
    <col min="8" max="8" width="26" customWidth="1"/>
  </cols>
  <sheetData>
    <row r="1" ht="14" customHeight="1" spans="1:10" x14ac:dyDescent="0.25">
      <c r="A1" s="1"/>
      <c r="B1" s="1"/>
      <c r="C1" s="1"/>
      <c r="D1" s="1"/>
      <c r="E1" s="1"/>
      <c r="F1" s="1"/>
      <c r="G1" s="1"/>
      <c r="H1" s="1"/>
      <c r="I1" s="1"/>
      <c r="J1" s="1"/>
    </row>
    <row r="2" ht="38" customHeight="1" spans="1:10" x14ac:dyDescent="0.25">
      <c r="A2" s="1"/>
      <c r="B2" s="34" t="s">
        <v>758</v>
      </c>
      <c r="C2" s="34"/>
      <c r="D2" s="34"/>
      <c r="E2" s="34"/>
      <c r="F2" s="34"/>
      <c r="G2" s="34"/>
      <c r="H2" s="34"/>
      <c r="I2" s="1"/>
      <c r="J2" s="1"/>
    </row>
    <row r="3" ht="18" customHeight="1" spans="1:10" x14ac:dyDescent="0.25">
      <c r="A3" s="1"/>
      <c r="B3" s="35" t="s">
        <v>759</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760</v>
      </c>
      <c r="C5" s="49" t="s">
        <v>761</v>
      </c>
      <c r="D5" s="50" t="s">
        <v>762</v>
      </c>
      <c r="E5" s="51" t="s">
        <v>763</v>
      </c>
      <c r="F5" s="51" t="s">
        <v>248</v>
      </c>
      <c r="G5" s="51" t="s">
        <v>764</v>
      </c>
      <c r="H5" s="49" t="s">
        <v>91</v>
      </c>
      <c r="I5" s="1"/>
      <c r="J5" s="1"/>
    </row>
    <row r="6" ht="19" customHeight="1" spans="1:10" x14ac:dyDescent="0.25">
      <c r="A6" s="1"/>
      <c r="B6" s="52" t="s">
        <v>250</v>
      </c>
      <c r="C6" s="53" t="s">
        <v>765</v>
      </c>
      <c r="D6" s="54">
        <v>180</v>
      </c>
      <c r="E6" s="58">
        <v>46271</v>
      </c>
      <c r="F6" s="56" t="s">
        <v>96</v>
      </c>
      <c r="G6" s="58">
        <v>46277</v>
      </c>
      <c r="H6" s="53"/>
      <c r="I6" s="1"/>
      <c r="J6" s="1"/>
    </row>
    <row r="7" ht="19" customHeight="1" spans="1:10" x14ac:dyDescent="0.25">
      <c r="A7" s="1"/>
      <c r="B7" s="52" t="s">
        <v>253</v>
      </c>
      <c r="C7" s="53" t="s">
        <v>766</v>
      </c>
      <c r="D7" s="54">
        <v>250</v>
      </c>
      <c r="E7" s="58">
        <v>46279</v>
      </c>
      <c r="F7" s="56" t="s">
        <v>96</v>
      </c>
      <c r="G7" s="58">
        <v>46283</v>
      </c>
      <c r="H7" s="53"/>
      <c r="I7" s="1"/>
      <c r="J7" s="1"/>
    </row>
    <row r="8" ht="19" customHeight="1" spans="1:10" x14ac:dyDescent="0.25">
      <c r="A8" s="1"/>
      <c r="B8" s="52" t="s">
        <v>767</v>
      </c>
      <c r="C8" s="53" t="s">
        <v>768</v>
      </c>
      <c r="D8" s="54">
        <v>500</v>
      </c>
      <c r="E8" s="58">
        <v>46285</v>
      </c>
      <c r="F8" s="56" t="s">
        <v>93</v>
      </c>
      <c r="G8" s="58"/>
      <c r="H8" s="53"/>
      <c r="I8" s="1"/>
      <c r="J8" s="1"/>
    </row>
    <row r="9" ht="19" customHeight="1" spans="1:10" x14ac:dyDescent="0.25">
      <c r="A9" s="1"/>
      <c r="B9" s="52" t="s">
        <v>769</v>
      </c>
      <c r="C9" s="53" t="s">
        <v>770</v>
      </c>
      <c r="D9" s="54">
        <v>320</v>
      </c>
      <c r="E9" s="58">
        <v>46288</v>
      </c>
      <c r="F9" s="56" t="s">
        <v>93</v>
      </c>
      <c r="G9" s="58"/>
      <c r="H9" s="53"/>
      <c r="I9" s="1"/>
      <c r="J9" s="1"/>
    </row>
    <row r="10" ht="19" customHeight="1" spans="1:10" x14ac:dyDescent="0.25">
      <c r="A10" s="1"/>
      <c r="B10" s="52"/>
      <c r="C10" s="53"/>
      <c r="D10" s="54"/>
      <c r="E10" s="58"/>
      <c r="F10" s="56"/>
      <c r="G10" s="58"/>
      <c r="H10" s="53"/>
      <c r="I10" s="1"/>
      <c r="J10" s="1"/>
    </row>
    <row r="11" ht="19" customHeight="1" spans="1:10" x14ac:dyDescent="0.25">
      <c r="A11" s="1"/>
      <c r="B11" s="52"/>
      <c r="C11" s="53"/>
      <c r="D11" s="54"/>
      <c r="E11" s="58"/>
      <c r="F11" s="56"/>
      <c r="G11" s="58"/>
      <c r="H11" s="53"/>
      <c r="I11" s="1"/>
      <c r="J11" s="1"/>
    </row>
    <row r="12" ht="19" customHeight="1" spans="1:10" x14ac:dyDescent="0.25">
      <c r="A12" s="1"/>
      <c r="B12" s="52"/>
      <c r="C12" s="53"/>
      <c r="D12" s="54"/>
      <c r="E12" s="58"/>
      <c r="F12" s="56"/>
      <c r="G12" s="58"/>
      <c r="H12" s="53"/>
      <c r="I12" s="1"/>
      <c r="J12" s="1"/>
    </row>
    <row r="13" ht="19" customHeight="1" spans="1:10" x14ac:dyDescent="0.25">
      <c r="A13" s="1"/>
      <c r="B13" s="52"/>
      <c r="C13" s="53"/>
      <c r="D13" s="54"/>
      <c r="E13" s="58"/>
      <c r="F13" s="56"/>
      <c r="G13" s="58"/>
      <c r="H13" s="53"/>
      <c r="I13" s="1"/>
      <c r="J13" s="1"/>
    </row>
    <row r="14" ht="19" customHeight="1" spans="1:10" x14ac:dyDescent="0.25">
      <c r="A14" s="1"/>
      <c r="B14" s="52"/>
      <c r="C14" s="53"/>
      <c r="D14" s="54"/>
      <c r="E14" s="58"/>
      <c r="F14" s="56"/>
      <c r="G14" s="58"/>
      <c r="H14" s="53"/>
      <c r="I14" s="1"/>
      <c r="J14" s="1"/>
    </row>
    <row r="15" ht="19" customHeight="1" spans="1:10" x14ac:dyDescent="0.25">
      <c r="A15" s="1"/>
      <c r="B15" s="52"/>
      <c r="C15" s="53"/>
      <c r="D15" s="54"/>
      <c r="E15" s="58"/>
      <c r="F15" s="56"/>
      <c r="G15" s="58"/>
      <c r="H15" s="53"/>
      <c r="I15" s="1"/>
      <c r="J15" s="1"/>
    </row>
    <row r="16" ht="19" customHeight="1" spans="1:10" x14ac:dyDescent="0.25">
      <c r="A16" s="1"/>
      <c r="B16" s="52"/>
      <c r="C16" s="53"/>
      <c r="D16" s="54"/>
      <c r="E16" s="58"/>
      <c r="F16" s="56"/>
      <c r="G16" s="58"/>
      <c r="H16" s="53"/>
      <c r="I16" s="1"/>
      <c r="J16" s="1"/>
    </row>
    <row r="17" ht="19" customHeight="1" spans="1:10" x14ac:dyDescent="0.25">
      <c r="A17" s="1"/>
      <c r="B17" s="52"/>
      <c r="C17" s="53"/>
      <c r="D17" s="54"/>
      <c r="E17" s="58"/>
      <c r="F17" s="56"/>
      <c r="G17" s="58"/>
      <c r="H17" s="53"/>
      <c r="I17" s="1"/>
      <c r="J17" s="1"/>
    </row>
    <row r="18" ht="19" customHeight="1" spans="1:10" x14ac:dyDescent="0.25">
      <c r="A18" s="1"/>
      <c r="B18" s="52"/>
      <c r="C18" s="53"/>
      <c r="D18" s="54"/>
      <c r="E18" s="58"/>
      <c r="F18" s="56"/>
      <c r="G18" s="58"/>
      <c r="H18" s="53"/>
      <c r="I18" s="1"/>
      <c r="J18" s="1"/>
    </row>
    <row r="19" ht="19" customHeight="1" spans="1:10" x14ac:dyDescent="0.25">
      <c r="A19" s="1"/>
      <c r="B19" s="52"/>
      <c r="C19" s="53"/>
      <c r="D19" s="54"/>
      <c r="E19" s="58"/>
      <c r="F19" s="56"/>
      <c r="G19" s="58"/>
      <c r="H19" s="53"/>
      <c r="I19" s="1"/>
      <c r="J19" s="1"/>
    </row>
    <row r="20" ht="19" customHeight="1" spans="1:10" x14ac:dyDescent="0.25">
      <c r="A20" s="1"/>
      <c r="B20" s="52"/>
      <c r="C20" s="53"/>
      <c r="D20" s="54"/>
      <c r="E20" s="58"/>
      <c r="F20" s="56"/>
      <c r="G20" s="58"/>
      <c r="H20" s="53"/>
      <c r="I20" s="1"/>
      <c r="J20" s="1"/>
    </row>
    <row r="21" ht="19" customHeight="1" spans="1:10" x14ac:dyDescent="0.25">
      <c r="A21" s="1"/>
      <c r="B21" s="52"/>
      <c r="C21" s="53"/>
      <c r="D21" s="54"/>
      <c r="E21" s="58"/>
      <c r="F21" s="56"/>
      <c r="G21" s="58"/>
      <c r="H21" s="53"/>
      <c r="I21" s="1"/>
      <c r="J21" s="1"/>
    </row>
    <row r="22" ht="19" customHeight="1" spans="1:10" x14ac:dyDescent="0.25">
      <c r="A22" s="1"/>
      <c r="B22" s="52"/>
      <c r="C22" s="53"/>
      <c r="D22" s="54"/>
      <c r="E22" s="58"/>
      <c r="F22" s="56"/>
      <c r="G22" s="58"/>
      <c r="H22" s="53"/>
      <c r="I22" s="1"/>
      <c r="J22" s="1"/>
    </row>
    <row r="23" ht="19" customHeight="1" spans="1:10" x14ac:dyDescent="0.25">
      <c r="A23" s="1"/>
      <c r="B23" s="52"/>
      <c r="C23" s="53"/>
      <c r="D23" s="54"/>
      <c r="E23" s="58"/>
      <c r="F23" s="56"/>
      <c r="G23" s="58"/>
      <c r="H23" s="53"/>
      <c r="I23" s="1"/>
      <c r="J23" s="1"/>
    </row>
    <row r="24" ht="19" customHeight="1" spans="1:10" x14ac:dyDescent="0.25">
      <c r="A24" s="1"/>
      <c r="B24" s="52"/>
      <c r="C24" s="53"/>
      <c r="D24" s="54"/>
      <c r="E24" s="58"/>
      <c r="F24" s="56"/>
      <c r="G24" s="58"/>
      <c r="H24" s="53"/>
      <c r="I24" s="1"/>
      <c r="J24" s="1"/>
    </row>
    <row r="25" ht="19" customHeight="1" spans="1:10" x14ac:dyDescent="0.25">
      <c r="A25" s="1"/>
      <c r="B25" s="52"/>
      <c r="C25" s="53"/>
      <c r="D25" s="54"/>
      <c r="E25" s="58"/>
      <c r="F25" s="56"/>
      <c r="G25" s="58"/>
      <c r="H25" s="53"/>
      <c r="I25" s="1"/>
      <c r="J25" s="1"/>
    </row>
    <row r="26" ht="19" customHeight="1" spans="1:10" x14ac:dyDescent="0.25">
      <c r="A26" s="1"/>
      <c r="B26" s="52"/>
      <c r="C26" s="53"/>
      <c r="D26" s="54"/>
      <c r="E26" s="58"/>
      <c r="F26" s="56"/>
      <c r="G26" s="58"/>
      <c r="H26" s="53"/>
      <c r="I26" s="1"/>
      <c r="J26" s="1"/>
    </row>
    <row r="27" ht="19" customHeight="1" spans="1:10" x14ac:dyDescent="0.25">
      <c r="A27" s="1"/>
      <c r="B27" s="52"/>
      <c r="C27" s="53"/>
      <c r="D27" s="54"/>
      <c r="E27" s="58"/>
      <c r="F27" s="56"/>
      <c r="G27" s="58"/>
      <c r="H27" s="53"/>
      <c r="I27" s="1"/>
      <c r="J27" s="1"/>
    </row>
    <row r="28" ht="19" customHeight="1" spans="1:10" x14ac:dyDescent="0.25">
      <c r="A28" s="1"/>
      <c r="B28" s="52"/>
      <c r="C28" s="53"/>
      <c r="D28" s="54"/>
      <c r="E28" s="58"/>
      <c r="F28" s="56"/>
      <c r="G28" s="58"/>
      <c r="H28" s="53"/>
      <c r="I28" s="1"/>
      <c r="J28" s="1"/>
    </row>
    <row r="29" ht="19" customHeight="1" spans="1:10" x14ac:dyDescent="0.25">
      <c r="A29" s="1"/>
      <c r="B29" s="52"/>
      <c r="C29" s="53"/>
      <c r="D29" s="54"/>
      <c r="E29" s="58"/>
      <c r="F29" s="56"/>
      <c r="G29" s="58"/>
      <c r="H29" s="53"/>
      <c r="I29" s="1"/>
      <c r="J29" s="1"/>
    </row>
    <row r="30" ht="19" customHeight="1" spans="1:10" x14ac:dyDescent="0.25">
      <c r="A30" s="1"/>
      <c r="B30" s="52"/>
      <c r="C30" s="53"/>
      <c r="D30" s="54"/>
      <c r="E30" s="58"/>
      <c r="F30" s="56"/>
      <c r="G30" s="58"/>
      <c r="H30" s="53"/>
      <c r="I30" s="1"/>
      <c r="J30" s="1"/>
    </row>
    <row r="31" ht="19" customHeight="1" spans="1:10" x14ac:dyDescent="0.25">
      <c r="A31" s="1"/>
      <c r="B31" s="52"/>
      <c r="C31" s="53"/>
      <c r="D31" s="54"/>
      <c r="E31" s="58"/>
      <c r="F31" s="56"/>
      <c r="G31" s="58"/>
      <c r="H31" s="53"/>
      <c r="I31" s="1"/>
      <c r="J31" s="1"/>
    </row>
    <row r="32" ht="19" customHeight="1" spans="1:10" x14ac:dyDescent="0.25">
      <c r="A32" s="1"/>
      <c r="B32" s="52"/>
      <c r="C32" s="53"/>
      <c r="D32" s="54"/>
      <c r="E32" s="58"/>
      <c r="F32" s="56"/>
      <c r="G32" s="58"/>
      <c r="H32" s="53"/>
      <c r="I32" s="1"/>
      <c r="J32" s="1"/>
    </row>
    <row r="33" ht="19" customHeight="1" spans="1:10" x14ac:dyDescent="0.25">
      <c r="A33" s="1"/>
      <c r="B33" s="52"/>
      <c r="C33" s="53"/>
      <c r="D33" s="54"/>
      <c r="E33" s="58"/>
      <c r="F33" s="56"/>
      <c r="G33" s="58"/>
      <c r="H33" s="53"/>
      <c r="I33" s="1"/>
      <c r="J33" s="1"/>
    </row>
    <row r="34" ht="19" customHeight="1" spans="1:10" x14ac:dyDescent="0.25">
      <c r="A34" s="1"/>
      <c r="B34" s="52"/>
      <c r="C34" s="53"/>
      <c r="D34" s="54"/>
      <c r="E34" s="58"/>
      <c r="F34" s="56"/>
      <c r="G34" s="58"/>
      <c r="H34" s="53"/>
      <c r="I34" s="1"/>
      <c r="J34" s="1"/>
    </row>
    <row r="35" ht="19" customHeight="1" spans="1:10" x14ac:dyDescent="0.25">
      <c r="A35" s="1"/>
      <c r="B35" s="52"/>
      <c r="C35" s="53"/>
      <c r="D35" s="54"/>
      <c r="E35" s="58"/>
      <c r="F35" s="56"/>
      <c r="G35" s="58"/>
      <c r="H35" s="53"/>
      <c r="I35" s="1"/>
      <c r="J35" s="1"/>
    </row>
    <row r="36" ht="19" customHeight="1" spans="1:10" x14ac:dyDescent="0.25">
      <c r="A36" s="1"/>
      <c r="B36" s="52"/>
      <c r="C36" s="53"/>
      <c r="D36" s="54"/>
      <c r="E36" s="58"/>
      <c r="F36" s="56"/>
      <c r="G36" s="58"/>
      <c r="H36" s="53"/>
      <c r="I36" s="1"/>
      <c r="J36" s="1"/>
    </row>
    <row r="37" ht="19" customHeight="1" spans="1:10" x14ac:dyDescent="0.25">
      <c r="A37" s="1"/>
      <c r="B37" s="52"/>
      <c r="C37" s="53"/>
      <c r="D37" s="54"/>
      <c r="E37" s="58"/>
      <c r="F37" s="56"/>
      <c r="G37" s="58"/>
      <c r="H37" s="53"/>
      <c r="I37" s="1"/>
      <c r="J37" s="1"/>
    </row>
    <row r="38" ht="19" customHeight="1" spans="1:10" x14ac:dyDescent="0.25">
      <c r="A38" s="1"/>
      <c r="B38" s="52"/>
      <c r="C38" s="53"/>
      <c r="D38" s="54"/>
      <c r="E38" s="58"/>
      <c r="F38" s="56"/>
      <c r="G38" s="58"/>
      <c r="H38" s="53"/>
      <c r="I38" s="1"/>
      <c r="J38" s="1"/>
    </row>
    <row r="39" ht="19" customHeight="1" spans="1:10" x14ac:dyDescent="0.25">
      <c r="A39" s="1"/>
      <c r="B39" s="52"/>
      <c r="C39" s="53"/>
      <c r="D39" s="54"/>
      <c r="E39" s="58"/>
      <c r="F39" s="56"/>
      <c r="G39" s="58"/>
      <c r="H39" s="53"/>
      <c r="I39" s="1"/>
      <c r="J39" s="1"/>
    </row>
    <row r="40" ht="19" customHeight="1" spans="1:10" x14ac:dyDescent="0.25">
      <c r="A40" s="1"/>
      <c r="B40" s="52"/>
      <c r="C40" s="53"/>
      <c r="D40" s="54"/>
      <c r="E40" s="58"/>
      <c r="F40" s="56"/>
      <c r="G40" s="58"/>
      <c r="H40" s="53"/>
      <c r="I40" s="1"/>
      <c r="J40" s="1"/>
    </row>
    <row r="41" ht="19" customHeight="1" spans="1:10" x14ac:dyDescent="0.25">
      <c r="A41" s="1"/>
      <c r="B41" s="52"/>
      <c r="C41" s="53"/>
      <c r="D41" s="54"/>
      <c r="E41" s="58"/>
      <c r="F41" s="56"/>
      <c r="G41" s="58"/>
      <c r="H41" s="53"/>
      <c r="I41" s="1"/>
      <c r="J41" s="1"/>
    </row>
    <row r="42" ht="19" customHeight="1" spans="1:10" x14ac:dyDescent="0.25">
      <c r="A42" s="1"/>
      <c r="B42" s="52"/>
      <c r="C42" s="53"/>
      <c r="D42" s="54"/>
      <c r="E42" s="58"/>
      <c r="F42" s="56"/>
      <c r="G42" s="58"/>
      <c r="H42" s="53"/>
      <c r="I42" s="1"/>
      <c r="J42" s="1"/>
    </row>
    <row r="43" ht="19" customHeight="1" spans="1:10" x14ac:dyDescent="0.25">
      <c r="A43" s="1"/>
      <c r="B43" s="52"/>
      <c r="C43" s="53"/>
      <c r="D43" s="54"/>
      <c r="E43" s="58"/>
      <c r="F43" s="56"/>
      <c r="G43" s="58"/>
      <c r="H43" s="53"/>
      <c r="I43" s="1"/>
      <c r="J43" s="1"/>
    </row>
    <row r="44" ht="19" customHeight="1" spans="1:10" x14ac:dyDescent="0.25">
      <c r="A44" s="1"/>
      <c r="B44" s="52"/>
      <c r="C44" s="53"/>
      <c r="D44" s="54"/>
      <c r="E44" s="58"/>
      <c r="F44" s="56"/>
      <c r="G44" s="58"/>
      <c r="H44" s="53"/>
      <c r="I44" s="1"/>
      <c r="J44" s="1"/>
    </row>
    <row r="45" ht="19" customHeight="1" spans="1:10" x14ac:dyDescent="0.25">
      <c r="A45" s="1"/>
      <c r="B45" s="52"/>
      <c r="C45" s="53"/>
      <c r="D45" s="54"/>
      <c r="E45" s="58"/>
      <c r="F45" s="56"/>
      <c r="G45" s="58"/>
      <c r="H45" s="53"/>
      <c r="I45" s="1"/>
      <c r="J45" s="1"/>
    </row>
    <row r="46" ht="19" customHeight="1" spans="1:10" x14ac:dyDescent="0.25">
      <c r="A46" s="1"/>
      <c r="B46" s="52"/>
      <c r="C46" s="53"/>
      <c r="D46" s="54"/>
      <c r="E46" s="58"/>
      <c r="F46" s="56"/>
      <c r="G46" s="58"/>
      <c r="H46" s="53"/>
      <c r="I46" s="1"/>
      <c r="J46" s="1"/>
    </row>
    <row r="47" ht="19" customHeight="1" spans="1:10" x14ac:dyDescent="0.25">
      <c r="A47" s="1"/>
      <c r="B47" s="52"/>
      <c r="C47" s="53"/>
      <c r="D47" s="54"/>
      <c r="E47" s="58"/>
      <c r="F47" s="56"/>
      <c r="G47" s="58"/>
      <c r="H47" s="53"/>
      <c r="I47" s="1"/>
      <c r="J47" s="1"/>
    </row>
    <row r="48" ht="19" customHeight="1" spans="1:10" x14ac:dyDescent="0.25">
      <c r="A48" s="1"/>
      <c r="B48" s="52"/>
      <c r="C48" s="53"/>
      <c r="D48" s="54"/>
      <c r="E48" s="58"/>
      <c r="F48" s="56"/>
      <c r="G48" s="58"/>
      <c r="H48" s="53"/>
      <c r="I48" s="1"/>
      <c r="J48" s="1"/>
    </row>
    <row r="49" ht="19" customHeight="1" spans="1:10" x14ac:dyDescent="0.25">
      <c r="A49" s="1"/>
      <c r="B49" s="52"/>
      <c r="C49" s="53"/>
      <c r="D49" s="54"/>
      <c r="E49" s="58"/>
      <c r="F49" s="56"/>
      <c r="G49" s="58"/>
      <c r="H49" s="53"/>
      <c r="I49" s="1"/>
      <c r="J49" s="1"/>
    </row>
    <row r="50" ht="19" customHeight="1" spans="1:10" x14ac:dyDescent="0.25">
      <c r="A50" s="1"/>
      <c r="B50" s="52"/>
      <c r="C50" s="53"/>
      <c r="D50" s="54"/>
      <c r="E50" s="58"/>
      <c r="F50" s="56"/>
      <c r="G50" s="58"/>
      <c r="H50" s="53"/>
      <c r="I50" s="1"/>
      <c r="J50" s="1"/>
    </row>
    <row r="51" ht="19" customHeight="1" spans="1:10" x14ac:dyDescent="0.25">
      <c r="A51" s="1"/>
      <c r="B51" s="52"/>
      <c r="C51" s="53"/>
      <c r="D51" s="54"/>
      <c r="E51" s="58"/>
      <c r="F51" s="56"/>
      <c r="G51" s="58"/>
      <c r="H51" s="53"/>
      <c r="I51" s="1"/>
      <c r="J51" s="1"/>
    </row>
    <row r="52" ht="19" customHeight="1" spans="1:10" x14ac:dyDescent="0.25">
      <c r="A52" s="1"/>
      <c r="B52" s="52"/>
      <c r="C52" s="53"/>
      <c r="D52" s="54"/>
      <c r="E52" s="58"/>
      <c r="F52" s="56"/>
      <c r="G52" s="58"/>
      <c r="H52" s="53"/>
      <c r="I52" s="1"/>
      <c r="J52" s="1"/>
    </row>
    <row r="53" ht="19" customHeight="1" spans="1:10" x14ac:dyDescent="0.25">
      <c r="A53" s="1"/>
      <c r="B53" s="52"/>
      <c r="C53" s="53"/>
      <c r="D53" s="54"/>
      <c r="E53" s="58"/>
      <c r="F53" s="56"/>
      <c r="G53" s="58"/>
      <c r="H53" s="53"/>
      <c r="I53" s="1"/>
      <c r="J53" s="1"/>
    </row>
    <row r="54" ht="19" customHeight="1" spans="1:10" x14ac:dyDescent="0.25">
      <c r="A54" s="1"/>
      <c r="B54" s="52"/>
      <c r="C54" s="53"/>
      <c r="D54" s="54"/>
      <c r="E54" s="58"/>
      <c r="F54" s="56"/>
      <c r="G54" s="58"/>
      <c r="H54" s="53"/>
      <c r="I54" s="1"/>
      <c r="J54" s="1"/>
    </row>
    <row r="55" ht="19" customHeight="1" spans="1:10" x14ac:dyDescent="0.25">
      <c r="A55" s="1"/>
      <c r="B55" s="52"/>
      <c r="C55" s="53"/>
      <c r="D55" s="54"/>
      <c r="E55" s="58"/>
      <c r="F55" s="56"/>
      <c r="G55" s="58"/>
      <c r="H55" s="53"/>
      <c r="I55" s="1"/>
      <c r="J55" s="1"/>
    </row>
    <row r="56" ht="19" customHeight="1" spans="1:10" x14ac:dyDescent="0.25">
      <c r="A56" s="1"/>
      <c r="B56" s="52"/>
      <c r="C56" s="53"/>
      <c r="D56" s="54"/>
      <c r="E56" s="58"/>
      <c r="F56" s="56"/>
      <c r="G56" s="58"/>
      <c r="H56" s="53"/>
      <c r="I56" s="1"/>
      <c r="J56" s="1"/>
    </row>
    <row r="57" ht="19" customHeight="1" spans="1:10" x14ac:dyDescent="0.25">
      <c r="A57" s="1"/>
      <c r="B57" s="52"/>
      <c r="C57" s="53"/>
      <c r="D57" s="54"/>
      <c r="E57" s="58"/>
      <c r="F57" s="56"/>
      <c r="G57" s="58"/>
      <c r="H57" s="53"/>
      <c r="I57" s="1"/>
      <c r="J57" s="1"/>
    </row>
    <row r="58" ht="19" customHeight="1" spans="1:10" x14ac:dyDescent="0.25">
      <c r="A58" s="1"/>
      <c r="B58" s="52"/>
      <c r="C58" s="53"/>
      <c r="D58" s="54"/>
      <c r="E58" s="58"/>
      <c r="F58" s="56"/>
      <c r="G58" s="58"/>
      <c r="H58" s="53"/>
      <c r="I58" s="1"/>
      <c r="J58" s="1"/>
    </row>
    <row r="59" ht="19" customHeight="1" spans="1:10" x14ac:dyDescent="0.25">
      <c r="A59" s="1"/>
      <c r="B59" s="52"/>
      <c r="C59" s="53"/>
      <c r="D59" s="54"/>
      <c r="E59" s="58"/>
      <c r="F59" s="56"/>
      <c r="G59" s="58"/>
      <c r="H59" s="53"/>
      <c r="I59" s="1"/>
      <c r="J59" s="1"/>
    </row>
    <row r="60" ht="19" customHeight="1" spans="1:10" x14ac:dyDescent="0.25">
      <c r="A60" s="1"/>
      <c r="B60" s="52"/>
      <c r="C60" s="53"/>
      <c r="D60" s="54"/>
      <c r="E60" s="58"/>
      <c r="F60" s="56"/>
      <c r="G60" s="58"/>
      <c r="H60" s="53"/>
      <c r="I60" s="1"/>
      <c r="J60" s="1"/>
    </row>
    <row r="61" ht="19" customHeight="1" spans="1:10" x14ac:dyDescent="0.25">
      <c r="A61" s="1"/>
      <c r="B61" s="52"/>
      <c r="C61" s="53"/>
      <c r="D61" s="54"/>
      <c r="E61" s="58"/>
      <c r="F61" s="56"/>
      <c r="G61" s="58"/>
      <c r="H61" s="53"/>
      <c r="I61" s="1"/>
      <c r="J61" s="1"/>
    </row>
    <row r="62" ht="19" customHeight="1" spans="1:10" x14ac:dyDescent="0.25">
      <c r="A62" s="1"/>
      <c r="B62" s="52"/>
      <c r="C62" s="53"/>
      <c r="D62" s="54"/>
      <c r="E62" s="58"/>
      <c r="F62" s="56"/>
      <c r="G62" s="58"/>
      <c r="H62" s="53"/>
      <c r="I62" s="1"/>
      <c r="J62" s="1"/>
    </row>
    <row r="63" ht="19" customHeight="1" spans="1:10" x14ac:dyDescent="0.25">
      <c r="A63" s="1"/>
      <c r="B63" s="52"/>
      <c r="C63" s="53"/>
      <c r="D63" s="54"/>
      <c r="E63" s="58"/>
      <c r="F63" s="56"/>
      <c r="G63" s="58"/>
      <c r="H63" s="53"/>
      <c r="I63" s="1"/>
      <c r="J63" s="1"/>
    </row>
    <row r="64" ht="19" customHeight="1" spans="1:10" x14ac:dyDescent="0.25">
      <c r="A64" s="1"/>
      <c r="B64" s="52"/>
      <c r="C64" s="53"/>
      <c r="D64" s="54"/>
      <c r="E64" s="58"/>
      <c r="F64" s="56"/>
      <c r="G64" s="58"/>
      <c r="H64" s="53"/>
      <c r="I64" s="1"/>
      <c r="J64" s="1"/>
    </row>
    <row r="65" ht="19" customHeight="1" spans="1:10" x14ac:dyDescent="0.25">
      <c r="A65" s="1"/>
      <c r="B65" s="52"/>
      <c r="C65" s="53"/>
      <c r="D65" s="54"/>
      <c r="E65" s="58"/>
      <c r="F65" s="56"/>
      <c r="G65" s="58"/>
      <c r="H65" s="53"/>
      <c r="I65" s="1"/>
      <c r="J65" s="1"/>
    </row>
    <row r="66" ht="19" customHeight="1" spans="1:10" x14ac:dyDescent="0.25">
      <c r="A66" s="1"/>
      <c r="B66" s="52"/>
      <c r="C66" s="53"/>
      <c r="D66" s="54"/>
      <c r="E66" s="58"/>
      <c r="F66" s="56"/>
      <c r="G66" s="58"/>
      <c r="H66" s="53"/>
      <c r="I66" s="1"/>
      <c r="J66" s="1"/>
    </row>
    <row r="67" ht="19" customHeight="1" spans="1:10" x14ac:dyDescent="0.25">
      <c r="A67" s="1"/>
      <c r="B67" s="52"/>
      <c r="C67" s="53"/>
      <c r="D67" s="54"/>
      <c r="E67" s="58"/>
      <c r="F67" s="56"/>
      <c r="G67" s="58"/>
      <c r="H67" s="53"/>
      <c r="I67" s="1"/>
      <c r="J67" s="1"/>
    </row>
    <row r="68" ht="19" customHeight="1" spans="1:10" x14ac:dyDescent="0.25">
      <c r="A68" s="1"/>
      <c r="B68" s="52"/>
      <c r="C68" s="53"/>
      <c r="D68" s="54"/>
      <c r="E68" s="58"/>
      <c r="F68" s="56"/>
      <c r="G68" s="58"/>
      <c r="H68" s="53"/>
      <c r="I68" s="1"/>
      <c r="J68" s="1"/>
    </row>
    <row r="69" ht="19" customHeight="1" spans="1:10" x14ac:dyDescent="0.25">
      <c r="A69" s="1"/>
      <c r="B69" s="52"/>
      <c r="C69" s="53"/>
      <c r="D69" s="54"/>
      <c r="E69" s="58"/>
      <c r="F69" s="56"/>
      <c r="G69" s="58"/>
      <c r="H69" s="53"/>
      <c r="I69" s="1"/>
      <c r="J69" s="1"/>
    </row>
    <row r="70" ht="19" customHeight="1" spans="1:10" x14ac:dyDescent="0.25">
      <c r="A70" s="1"/>
      <c r="B70" s="52"/>
      <c r="C70" s="53"/>
      <c r="D70" s="54"/>
      <c r="E70" s="58"/>
      <c r="F70" s="56"/>
      <c r="G70" s="58"/>
      <c r="H70" s="53"/>
      <c r="I70" s="1"/>
      <c r="J70" s="1"/>
    </row>
    <row r="71" ht="19" customHeight="1" spans="1:10" x14ac:dyDescent="0.25">
      <c r="A71" s="1"/>
      <c r="B71" s="52"/>
      <c r="C71" s="53"/>
      <c r="D71" s="54"/>
      <c r="E71" s="58"/>
      <c r="F71" s="56"/>
      <c r="G71" s="58"/>
      <c r="H71" s="53"/>
      <c r="I71" s="1"/>
      <c r="J71" s="1"/>
    </row>
    <row r="72" ht="19" customHeight="1" spans="1:10" x14ac:dyDescent="0.25">
      <c r="A72" s="1"/>
      <c r="B72" s="52"/>
      <c r="C72" s="53"/>
      <c r="D72" s="54"/>
      <c r="E72" s="58"/>
      <c r="F72" s="56"/>
      <c r="G72" s="58"/>
      <c r="H72" s="53"/>
      <c r="I72" s="1"/>
      <c r="J72" s="1"/>
    </row>
    <row r="73" ht="19" customHeight="1" spans="1:10" x14ac:dyDescent="0.25">
      <c r="A73" s="1"/>
      <c r="B73" s="52"/>
      <c r="C73" s="53"/>
      <c r="D73" s="54"/>
      <c r="E73" s="58"/>
      <c r="F73" s="56"/>
      <c r="G73" s="58"/>
      <c r="H73" s="53"/>
      <c r="I73" s="1"/>
      <c r="J73" s="1"/>
    </row>
    <row r="74" ht="19" customHeight="1" spans="1:10" x14ac:dyDescent="0.25">
      <c r="A74" s="1"/>
      <c r="B74" s="52"/>
      <c r="C74" s="53"/>
      <c r="D74" s="54"/>
      <c r="E74" s="58"/>
      <c r="F74" s="56"/>
      <c r="G74" s="58"/>
      <c r="H74" s="53"/>
      <c r="I74" s="1"/>
      <c r="J74" s="1"/>
    </row>
    <row r="75" ht="19" customHeight="1" spans="1:10" x14ac:dyDescent="0.25">
      <c r="A75" s="1"/>
      <c r="B75" s="52"/>
      <c r="C75" s="53"/>
      <c r="D75" s="54"/>
      <c r="E75" s="58"/>
      <c r="F75" s="56"/>
      <c r="G75" s="58"/>
      <c r="H75" s="53"/>
      <c r="I75" s="1"/>
      <c r="J75" s="1"/>
    </row>
    <row r="76" ht="19" customHeight="1" spans="1:10" x14ac:dyDescent="0.25">
      <c r="A76" s="1"/>
      <c r="B76" s="52"/>
      <c r="C76" s="53"/>
      <c r="D76" s="54"/>
      <c r="E76" s="58"/>
      <c r="F76" s="56"/>
      <c r="G76" s="58"/>
      <c r="H76" s="53"/>
      <c r="I76" s="1"/>
      <c r="J76" s="1"/>
    </row>
    <row r="77" ht="19" customHeight="1" spans="1:10" x14ac:dyDescent="0.25">
      <c r="A77" s="1"/>
      <c r="B77" s="52"/>
      <c r="C77" s="53"/>
      <c r="D77" s="54"/>
      <c r="E77" s="58"/>
      <c r="F77" s="56"/>
      <c r="G77" s="58"/>
      <c r="H77" s="53"/>
      <c r="I77" s="1"/>
      <c r="J77" s="1"/>
    </row>
    <row r="78" ht="19" customHeight="1" spans="1:10" x14ac:dyDescent="0.25">
      <c r="A78" s="1"/>
      <c r="B78" s="52"/>
      <c r="C78" s="53"/>
      <c r="D78" s="54"/>
      <c r="E78" s="58"/>
      <c r="F78" s="56"/>
      <c r="G78" s="58"/>
      <c r="H78" s="53"/>
      <c r="I78" s="1"/>
      <c r="J78" s="1"/>
    </row>
    <row r="79" ht="19" customHeight="1" spans="1:10" x14ac:dyDescent="0.25">
      <c r="A79" s="1"/>
      <c r="B79" s="52"/>
      <c r="C79" s="53"/>
      <c r="D79" s="54"/>
      <c r="E79" s="58"/>
      <c r="F79" s="56"/>
      <c r="G79" s="58"/>
      <c r="H79" s="53"/>
      <c r="I79" s="1"/>
      <c r="J79" s="1"/>
    </row>
    <row r="80" ht="19" customHeight="1" spans="1:10" x14ac:dyDescent="0.25">
      <c r="A80" s="1"/>
      <c r="B80" s="52"/>
      <c r="C80" s="53"/>
      <c r="D80" s="54"/>
      <c r="E80" s="58"/>
      <c r="F80" s="56"/>
      <c r="G80" s="58"/>
      <c r="H80" s="53"/>
      <c r="I80" s="1"/>
      <c r="J80" s="1"/>
    </row>
    <row r="81" ht="19" customHeight="1" spans="1:10" x14ac:dyDescent="0.25">
      <c r="A81" s="1"/>
      <c r="B81" s="52"/>
      <c r="C81" s="53"/>
      <c r="D81" s="54"/>
      <c r="E81" s="58"/>
      <c r="F81" s="56"/>
      <c r="G81" s="58"/>
      <c r="H81" s="53"/>
      <c r="I81" s="1"/>
      <c r="J81" s="1"/>
    </row>
    <row r="82" ht="19" customHeight="1" spans="1:10" x14ac:dyDescent="0.25">
      <c r="A82" s="1"/>
      <c r="B82" s="52"/>
      <c r="C82" s="53"/>
      <c r="D82" s="54"/>
      <c r="E82" s="58"/>
      <c r="F82" s="56"/>
      <c r="G82" s="58"/>
      <c r="H82" s="53"/>
      <c r="I82" s="1"/>
      <c r="J82" s="1"/>
    </row>
    <row r="83" ht="19" customHeight="1" spans="1:10" x14ac:dyDescent="0.25">
      <c r="A83" s="1"/>
      <c r="B83" s="52"/>
      <c r="C83" s="53"/>
      <c r="D83" s="54"/>
      <c r="E83" s="58"/>
      <c r="F83" s="56"/>
      <c r="G83" s="58"/>
      <c r="H83" s="53"/>
      <c r="I83" s="1"/>
      <c r="J83" s="1"/>
    </row>
    <row r="84" ht="19" customHeight="1" spans="1:10" x14ac:dyDescent="0.25">
      <c r="A84" s="1"/>
      <c r="B84" s="52"/>
      <c r="C84" s="53"/>
      <c r="D84" s="54"/>
      <c r="E84" s="58"/>
      <c r="F84" s="56"/>
      <c r="G84" s="58"/>
      <c r="H84" s="53"/>
      <c r="I84" s="1"/>
      <c r="J84" s="1"/>
    </row>
    <row r="85" ht="19" customHeight="1" spans="1:10" x14ac:dyDescent="0.25">
      <c r="A85" s="1"/>
      <c r="B85" s="52"/>
      <c r="C85" s="53"/>
      <c r="D85" s="54"/>
      <c r="E85" s="58"/>
      <c r="F85" s="56"/>
      <c r="G85" s="58"/>
      <c r="H85" s="53"/>
      <c r="I85" s="1"/>
      <c r="J85" s="1"/>
    </row>
    <row r="86" ht="19" customHeight="1" spans="1:10" x14ac:dyDescent="0.25">
      <c r="A86" s="1"/>
      <c r="B86" s="52"/>
      <c r="C86" s="53"/>
      <c r="D86" s="54"/>
      <c r="E86" s="58"/>
      <c r="F86" s="56"/>
      <c r="G86" s="58"/>
      <c r="H86" s="53"/>
      <c r="I86" s="1"/>
      <c r="J86" s="1"/>
    </row>
    <row r="87" ht="19" customHeight="1" spans="1:10" x14ac:dyDescent="0.25">
      <c r="A87" s="1"/>
      <c r="B87" s="52"/>
      <c r="C87" s="53"/>
      <c r="D87" s="54"/>
      <c r="E87" s="58"/>
      <c r="F87" s="56"/>
      <c r="G87" s="58"/>
      <c r="H87" s="53"/>
      <c r="I87" s="1"/>
      <c r="J87" s="1"/>
    </row>
    <row r="88" ht="19" customHeight="1" spans="1:10" x14ac:dyDescent="0.25">
      <c r="A88" s="1"/>
      <c r="B88" s="52"/>
      <c r="C88" s="53"/>
      <c r="D88" s="54"/>
      <c r="E88" s="58"/>
      <c r="F88" s="56"/>
      <c r="G88" s="58"/>
      <c r="H88" s="53"/>
      <c r="I88" s="1"/>
      <c r="J88" s="1"/>
    </row>
    <row r="89" ht="19" customHeight="1" spans="1:10" x14ac:dyDescent="0.25">
      <c r="A89" s="1"/>
      <c r="B89" s="52"/>
      <c r="C89" s="53"/>
      <c r="D89" s="54"/>
      <c r="E89" s="58"/>
      <c r="F89" s="56"/>
      <c r="G89" s="58"/>
      <c r="H89" s="53"/>
      <c r="I89" s="1"/>
      <c r="J89" s="1"/>
    </row>
    <row r="90" ht="19" customHeight="1" spans="1:10" x14ac:dyDescent="0.25">
      <c r="A90" s="1"/>
      <c r="B90" s="52"/>
      <c r="C90" s="53"/>
      <c r="D90" s="54"/>
      <c r="E90" s="58"/>
      <c r="F90" s="56"/>
      <c r="G90" s="58"/>
      <c r="H90" s="53"/>
      <c r="I90" s="1"/>
      <c r="J90" s="1"/>
    </row>
    <row r="91" ht="19" customHeight="1" spans="1:10" x14ac:dyDescent="0.25">
      <c r="A91" s="1"/>
      <c r="B91" s="52"/>
      <c r="C91" s="53"/>
      <c r="D91" s="54"/>
      <c r="E91" s="58"/>
      <c r="F91" s="56"/>
      <c r="G91" s="58"/>
      <c r="H91" s="53"/>
      <c r="I91" s="1"/>
      <c r="J91" s="1"/>
    </row>
    <row r="92" ht="19" customHeight="1" spans="1:10" x14ac:dyDescent="0.25">
      <c r="A92" s="1"/>
      <c r="B92" s="52"/>
      <c r="C92" s="53"/>
      <c r="D92" s="54"/>
      <c r="E92" s="58"/>
      <c r="F92" s="56"/>
      <c r="G92" s="58"/>
      <c r="H92" s="53"/>
      <c r="I92" s="1"/>
      <c r="J92" s="1"/>
    </row>
    <row r="93" ht="19" customHeight="1" spans="1:10" x14ac:dyDescent="0.25">
      <c r="A93" s="1"/>
      <c r="B93" s="52"/>
      <c r="C93" s="53"/>
      <c r="D93" s="54"/>
      <c r="E93" s="58"/>
      <c r="F93" s="56"/>
      <c r="G93" s="58"/>
      <c r="H93" s="53"/>
      <c r="I93" s="1"/>
      <c r="J93" s="1"/>
    </row>
    <row r="94" ht="19" customHeight="1" spans="1:10" x14ac:dyDescent="0.25">
      <c r="A94" s="1"/>
      <c r="B94" s="52"/>
      <c r="C94" s="53"/>
      <c r="D94" s="54"/>
      <c r="E94" s="58"/>
      <c r="F94" s="56"/>
      <c r="G94" s="58"/>
      <c r="H94" s="53"/>
      <c r="I94" s="1"/>
      <c r="J94" s="1"/>
    </row>
    <row r="95" ht="19" customHeight="1" spans="1:10" x14ac:dyDescent="0.25">
      <c r="A95" s="1"/>
      <c r="B95" s="52"/>
      <c r="C95" s="53"/>
      <c r="D95" s="54"/>
      <c r="E95" s="58"/>
      <c r="F95" s="56"/>
      <c r="G95" s="58"/>
      <c r="H95" s="53"/>
      <c r="I95" s="1"/>
      <c r="J95" s="1"/>
    </row>
    <row r="96" ht="19" customHeight="1" spans="1:10" x14ac:dyDescent="0.25">
      <c r="A96" s="1"/>
      <c r="B96" s="52"/>
      <c r="C96" s="53"/>
      <c r="D96" s="54"/>
      <c r="E96" s="58"/>
      <c r="F96" s="56"/>
      <c r="G96" s="58"/>
      <c r="H96" s="53"/>
      <c r="I96" s="1"/>
      <c r="J96" s="1"/>
    </row>
    <row r="97" ht="19" customHeight="1" spans="1:10" x14ac:dyDescent="0.25">
      <c r="A97" s="1"/>
      <c r="B97" s="52"/>
      <c r="C97" s="53"/>
      <c r="D97" s="54"/>
      <c r="E97" s="58"/>
      <c r="F97" s="56"/>
      <c r="G97" s="58"/>
      <c r="H97" s="53"/>
      <c r="I97" s="1"/>
      <c r="J97" s="1"/>
    </row>
    <row r="98" ht="19" customHeight="1" spans="1:10" x14ac:dyDescent="0.25">
      <c r="A98" s="1"/>
      <c r="B98" s="52"/>
      <c r="C98" s="53"/>
      <c r="D98" s="54"/>
      <c r="E98" s="58"/>
      <c r="F98" s="56"/>
      <c r="G98" s="58"/>
      <c r="H98" s="53"/>
      <c r="I98" s="1"/>
      <c r="J98" s="1"/>
    </row>
    <row r="99" ht="19" customHeight="1" spans="1:10" x14ac:dyDescent="0.25">
      <c r="A99" s="1"/>
      <c r="B99" s="52"/>
      <c r="C99" s="53"/>
      <c r="D99" s="54"/>
      <c r="E99" s="58"/>
      <c r="F99" s="56"/>
      <c r="G99" s="58"/>
      <c r="H99" s="53"/>
      <c r="I99" s="1"/>
      <c r="J99" s="1"/>
    </row>
    <row r="100" ht="19" customHeight="1" spans="1:10" x14ac:dyDescent="0.25">
      <c r="A100" s="1"/>
      <c r="B100" s="52"/>
      <c r="C100" s="53"/>
      <c r="D100" s="54"/>
      <c r="E100" s="58"/>
      <c r="F100" s="56"/>
      <c r="G100" s="58"/>
      <c r="H100" s="53"/>
      <c r="I100" s="1"/>
      <c r="J100" s="1"/>
    </row>
    <row r="101" ht="19" customHeight="1" spans="1:10" x14ac:dyDescent="0.25">
      <c r="A101" s="1"/>
      <c r="B101" s="52"/>
      <c r="C101" s="53"/>
      <c r="D101" s="54"/>
      <c r="E101" s="58"/>
      <c r="F101" s="56"/>
      <c r="G101" s="58"/>
      <c r="H101" s="53"/>
      <c r="I101" s="1"/>
      <c r="J101" s="1"/>
    </row>
    <row r="102" ht="19" customHeight="1" spans="1:10" x14ac:dyDescent="0.25">
      <c r="A102" s="1"/>
      <c r="B102" s="52"/>
      <c r="C102" s="53"/>
      <c r="D102" s="54"/>
      <c r="E102" s="58"/>
      <c r="F102" s="56"/>
      <c r="G102" s="58"/>
      <c r="H102" s="53"/>
      <c r="I102" s="1"/>
      <c r="J102" s="1"/>
    </row>
    <row r="103" ht="19" customHeight="1" spans="1:10" x14ac:dyDescent="0.25">
      <c r="A103" s="1"/>
      <c r="B103" s="52"/>
      <c r="C103" s="53"/>
      <c r="D103" s="54"/>
      <c r="E103" s="58"/>
      <c r="F103" s="56"/>
      <c r="G103" s="58"/>
      <c r="H103" s="53"/>
      <c r="I103" s="1"/>
      <c r="J103" s="1"/>
    </row>
    <row r="104" ht="19" customHeight="1" spans="1:10" x14ac:dyDescent="0.25">
      <c r="A104" s="1"/>
      <c r="B104" s="52"/>
      <c r="C104" s="53"/>
      <c r="D104" s="54"/>
      <c r="E104" s="58"/>
      <c r="F104" s="56"/>
      <c r="G104" s="58"/>
      <c r="H104" s="53"/>
      <c r="I104" s="1"/>
      <c r="J104" s="1"/>
    </row>
    <row r="105" ht="19" customHeight="1" spans="1:10" x14ac:dyDescent="0.25">
      <c r="A105" s="1"/>
      <c r="B105" s="52"/>
      <c r="C105" s="53"/>
      <c r="D105" s="54"/>
      <c r="E105" s="58"/>
      <c r="F105" s="56"/>
      <c r="G105" s="58"/>
      <c r="H105" s="53"/>
      <c r="I105" s="1"/>
      <c r="J105" s="1"/>
    </row>
    <row r="106" ht="19" customHeight="1" spans="1:10" x14ac:dyDescent="0.25">
      <c r="A106" s="1"/>
      <c r="B106" s="52"/>
      <c r="C106" s="53"/>
      <c r="D106" s="54"/>
      <c r="E106" s="58"/>
      <c r="F106" s="56"/>
      <c r="G106" s="58"/>
      <c r="H106" s="53"/>
      <c r="I106" s="1"/>
      <c r="J106" s="1"/>
    </row>
    <row r="107" ht="19" customHeight="1" spans="1:10" x14ac:dyDescent="0.25">
      <c r="A107" s="1"/>
      <c r="B107" s="52"/>
      <c r="C107" s="53"/>
      <c r="D107" s="54"/>
      <c r="E107" s="58"/>
      <c r="F107" s="56"/>
      <c r="G107" s="58"/>
      <c r="H107" s="53"/>
      <c r="I107" s="1"/>
      <c r="J107" s="1"/>
    </row>
    <row r="108" ht="19" customHeight="1" spans="1:10" x14ac:dyDescent="0.25">
      <c r="A108" s="1"/>
      <c r="B108" s="52"/>
      <c r="C108" s="53"/>
      <c r="D108" s="54"/>
      <c r="E108" s="58"/>
      <c r="F108" s="56"/>
      <c r="G108" s="58"/>
      <c r="H108" s="53"/>
      <c r="I108" s="1"/>
      <c r="J108" s="1"/>
    </row>
    <row r="109" ht="19" customHeight="1" spans="1:10" x14ac:dyDescent="0.25">
      <c r="A109" s="1"/>
      <c r="B109" s="52"/>
      <c r="C109" s="53"/>
      <c r="D109" s="54"/>
      <c r="E109" s="58"/>
      <c r="F109" s="56"/>
      <c r="G109" s="58"/>
      <c r="H109" s="53"/>
      <c r="I109" s="1"/>
      <c r="J109" s="1"/>
    </row>
    <row r="110" ht="19" customHeight="1" spans="1:10" x14ac:dyDescent="0.25">
      <c r="A110" s="1"/>
      <c r="B110" s="52"/>
      <c r="C110" s="53"/>
      <c r="D110" s="54"/>
      <c r="E110" s="58"/>
      <c r="F110" s="56"/>
      <c r="G110" s="58"/>
      <c r="H110" s="53"/>
      <c r="I110" s="1"/>
      <c r="J110" s="1"/>
    </row>
    <row r="111" ht="19" customHeight="1" spans="1:10" x14ac:dyDescent="0.25">
      <c r="A111" s="1"/>
      <c r="B111" s="52"/>
      <c r="C111" s="53"/>
      <c r="D111" s="54"/>
      <c r="E111" s="58"/>
      <c r="F111" s="56"/>
      <c r="G111" s="58"/>
      <c r="H111" s="53"/>
      <c r="I111" s="1"/>
      <c r="J111" s="1"/>
    </row>
    <row r="112" ht="19" customHeight="1" spans="1:10" x14ac:dyDescent="0.25">
      <c r="A112" s="1"/>
      <c r="B112" s="52"/>
      <c r="C112" s="53"/>
      <c r="D112" s="54"/>
      <c r="E112" s="58"/>
      <c r="F112" s="56"/>
      <c r="G112" s="58"/>
      <c r="H112" s="53"/>
      <c r="I112" s="1"/>
      <c r="J112" s="1"/>
    </row>
    <row r="113" ht="19" customHeight="1" spans="1:10" x14ac:dyDescent="0.25">
      <c r="A113" s="1"/>
      <c r="B113" s="52"/>
      <c r="C113" s="53"/>
      <c r="D113" s="54"/>
      <c r="E113" s="58"/>
      <c r="F113" s="56"/>
      <c r="G113" s="58"/>
      <c r="H113" s="53"/>
      <c r="I113" s="1"/>
      <c r="J113" s="1"/>
    </row>
    <row r="114" ht="19" customHeight="1" spans="1:10" x14ac:dyDescent="0.25">
      <c r="A114" s="1"/>
      <c r="B114" s="52"/>
      <c r="C114" s="53"/>
      <c r="D114" s="54"/>
      <c r="E114" s="58"/>
      <c r="F114" s="56"/>
      <c r="G114" s="58"/>
      <c r="H114" s="53"/>
      <c r="I114" s="1"/>
      <c r="J114" s="1"/>
    </row>
    <row r="115" ht="19" customHeight="1" spans="1:10" x14ac:dyDescent="0.25">
      <c r="A115" s="1"/>
      <c r="B115" s="52"/>
      <c r="C115" s="53"/>
      <c r="D115" s="54"/>
      <c r="E115" s="58"/>
      <c r="F115" s="56"/>
      <c r="G115" s="58"/>
      <c r="H115" s="53"/>
      <c r="I115" s="1"/>
      <c r="J115" s="1"/>
    </row>
    <row r="116" ht="19" customHeight="1" spans="1:10" x14ac:dyDescent="0.25">
      <c r="A116" s="1"/>
      <c r="B116" s="52"/>
      <c r="C116" s="53"/>
      <c r="D116" s="54"/>
      <c r="E116" s="58"/>
      <c r="F116" s="56"/>
      <c r="G116" s="58"/>
      <c r="H116" s="53"/>
      <c r="I116" s="1"/>
      <c r="J116" s="1"/>
    </row>
    <row r="117" ht="19" customHeight="1" spans="1:10" x14ac:dyDescent="0.25">
      <c r="A117" s="1"/>
      <c r="B117" s="52"/>
      <c r="C117" s="53"/>
      <c r="D117" s="54"/>
      <c r="E117" s="58"/>
      <c r="F117" s="56"/>
      <c r="G117" s="58"/>
      <c r="H117" s="53"/>
      <c r="I117" s="1"/>
      <c r="J117" s="1"/>
    </row>
    <row r="118" ht="19" customHeight="1" spans="1:10" x14ac:dyDescent="0.25">
      <c r="A118" s="1"/>
      <c r="B118" s="52"/>
      <c r="C118" s="53"/>
      <c r="D118" s="54"/>
      <c r="E118" s="58"/>
      <c r="F118" s="56"/>
      <c r="G118" s="58"/>
      <c r="H118" s="53"/>
      <c r="I118" s="1"/>
      <c r="J118" s="1"/>
    </row>
    <row r="119" ht="19" customHeight="1" spans="1:10" x14ac:dyDescent="0.25">
      <c r="A119" s="1"/>
      <c r="B119" s="52"/>
      <c r="C119" s="53"/>
      <c r="D119" s="54"/>
      <c r="E119" s="58"/>
      <c r="F119" s="56"/>
      <c r="G119" s="58"/>
      <c r="H119" s="53"/>
      <c r="I119" s="1"/>
      <c r="J119" s="1"/>
    </row>
    <row r="120" ht="19" customHeight="1" spans="1:10" x14ac:dyDescent="0.25">
      <c r="A120" s="1"/>
      <c r="B120" s="52"/>
      <c r="C120" s="53"/>
      <c r="D120" s="54"/>
      <c r="E120" s="58"/>
      <c r="F120" s="56"/>
      <c r="G120" s="58"/>
      <c r="H120" s="53"/>
      <c r="I120" s="1"/>
      <c r="J120" s="1"/>
    </row>
    <row r="121" ht="24" customHeight="1" spans="1:10" x14ac:dyDescent="0.25">
      <c r="A121" s="1"/>
      <c r="B121" s="62" t="s">
        <v>771</v>
      </c>
      <c r="C121" s="63"/>
      <c r="D121" s="64">
        <f>SUM(D6:D120)</f>
      </c>
      <c r="E121" s="63"/>
      <c r="F121" s="63"/>
      <c r="G121" s="63"/>
      <c r="H121" s="63"/>
      <c r="I121" s="1"/>
      <c r="J121" s="1"/>
    </row>
    <row r="122" spans="1:10" x14ac:dyDescent="0.25">
      <c r="A122" s="1"/>
      <c r="B122" s="1"/>
      <c r="C122" s="1"/>
      <c r="D122" s="1"/>
      <c r="E122" s="1"/>
      <c r="F122" s="1"/>
      <c r="G122" s="1"/>
      <c r="H122" s="1"/>
      <c r="I122" s="1"/>
      <c r="J122" s="1"/>
    </row>
    <row r="123" spans="1:10" x14ac:dyDescent="0.25">
      <c r="A123" s="1"/>
      <c r="B123" s="1"/>
      <c r="C123" s="1"/>
      <c r="D123" s="1"/>
      <c r="E123" s="1"/>
      <c r="F123" s="1"/>
      <c r="G123" s="1"/>
      <c r="H123" s="1"/>
      <c r="I123" s="1"/>
      <c r="J123" s="1"/>
    </row>
    <row r="124" spans="1:10" x14ac:dyDescent="0.25">
      <c r="A124" s="1"/>
      <c r="B124" s="1"/>
      <c r="C124" s="1"/>
      <c r="D124" s="1"/>
      <c r="E124" s="1"/>
      <c r="F124" s="1"/>
      <c r="G124" s="1"/>
      <c r="H124" s="1"/>
      <c r="I124" s="1"/>
      <c r="J124" s="1"/>
    </row>
    <row r="125" spans="1:10" x14ac:dyDescent="0.25">
      <c r="A125" s="1"/>
      <c r="B125" s="1"/>
      <c r="C125" s="1"/>
      <c r="D125" s="1"/>
      <c r="E125" s="1"/>
      <c r="F125" s="1"/>
      <c r="G125" s="1"/>
      <c r="H125" s="1"/>
      <c r="I125" s="1"/>
      <c r="J125" s="1"/>
    </row>
  </sheetData>
  <mergeCells count="2">
    <mergeCell ref="B2:H2"/>
    <mergeCell ref="B3:H3"/>
  </mergeCells>
  <conditionalFormatting sqref="F6:F120">
    <cfRule type="expression" dxfId="131" priority="1">
      <formula>F6="Yes"</formula>
    </cfRule>
  </conditionalFormatting>
  <conditionalFormatting sqref="F6:F120">
    <cfRule type="expression" dxfId="132" priority="1">
      <formula>AND(B6&lt;&gt;"",F6&lt;&gt;"Yes")</formula>
    </cfRule>
  </conditionalFormatting>
  <dataValidations count="1">
    <dataValidation type="list" allowBlank="1" sqref="F6:F120">
      <formula1>"Yes,No"</formula1>
    </dataValidation>
  </dataValidations>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J35"/>
  <sheetViews>
    <sheetView workbookViewId="0" showGridLines="0" zoomScale="100"/>
  </sheetViews>
  <sheetFormatPr defaultRowHeight="15" outlineLevelRow="0" outlineLevelCol="0" x14ac:dyDescent="55"/>
  <cols>
    <col min="1" max="1" width="3" customWidth="1"/>
    <col min="2" max="2" width="26" customWidth="1"/>
    <col min="3" max="6" width="13" customWidth="1"/>
    <col min="7" max="7" width="11" customWidth="1"/>
    <col min="8" max="8" width="26" customWidth="1"/>
  </cols>
  <sheetData>
    <row r="1" ht="14" customHeight="1" spans="1:10" x14ac:dyDescent="0.25">
      <c r="A1" s="1"/>
      <c r="B1" s="1"/>
      <c r="C1" s="1"/>
      <c r="D1" s="1"/>
      <c r="E1" s="1"/>
      <c r="F1" s="1"/>
      <c r="G1" s="1"/>
      <c r="H1" s="1"/>
      <c r="I1" s="1"/>
      <c r="J1" s="1"/>
    </row>
    <row r="2" ht="38" customHeight="1" spans="1:10" x14ac:dyDescent="0.25">
      <c r="A2" s="1"/>
      <c r="B2" s="34" t="s">
        <v>772</v>
      </c>
      <c r="C2" s="34"/>
      <c r="D2" s="34"/>
      <c r="E2" s="34"/>
      <c r="F2" s="34"/>
      <c r="G2" s="34"/>
      <c r="H2" s="34"/>
      <c r="I2" s="1"/>
      <c r="J2" s="1"/>
    </row>
    <row r="3" ht="18" customHeight="1" spans="1:10" x14ac:dyDescent="0.25">
      <c r="A3" s="1"/>
      <c r="B3" s="35" t="s">
        <v>773</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521</v>
      </c>
      <c r="C5" s="50" t="s">
        <v>225</v>
      </c>
      <c r="D5" s="50" t="s">
        <v>774</v>
      </c>
      <c r="E5" s="50" t="s">
        <v>775</v>
      </c>
      <c r="F5" s="50" t="s">
        <v>228</v>
      </c>
      <c r="G5" s="51" t="s">
        <v>549</v>
      </c>
      <c r="H5" s="49" t="s">
        <v>91</v>
      </c>
      <c r="I5" s="1"/>
      <c r="J5" s="1"/>
    </row>
    <row r="6" ht="19" customHeight="1" spans="1:10" x14ac:dyDescent="0.25">
      <c r="A6" s="1"/>
      <c r="B6" s="52" t="s">
        <v>776</v>
      </c>
      <c r="C6" s="54">
        <v>1800</v>
      </c>
      <c r="D6" s="54">
        <v>1740</v>
      </c>
      <c r="E6" s="54">
        <v>1740</v>
      </c>
      <c r="F6" s="59">
        <f>IF(B6="","",D6-E6)</f>
      </c>
      <c r="G6" s="56" t="s">
        <v>96</v>
      </c>
      <c r="H6" s="53"/>
      <c r="I6" s="1"/>
      <c r="J6" s="1"/>
    </row>
    <row r="7" ht="19" customHeight="1" spans="1:10" x14ac:dyDescent="0.25">
      <c r="A7" s="1"/>
      <c r="B7" s="52" t="s">
        <v>777</v>
      </c>
      <c r="C7" s="54">
        <v>2100</v>
      </c>
      <c r="D7" s="54">
        <v>2100</v>
      </c>
      <c r="E7" s="54">
        <v>700</v>
      </c>
      <c r="F7" s="61">
        <f>IF(B7="","",D7-E7)</f>
      </c>
      <c r="G7" s="56" t="s">
        <v>96</v>
      </c>
      <c r="H7" s="53"/>
      <c r="I7" s="1"/>
      <c r="J7" s="1"/>
    </row>
    <row r="8" ht="19" customHeight="1" spans="1:10" x14ac:dyDescent="0.25">
      <c r="A8" s="1"/>
      <c r="B8" s="52" t="s">
        <v>778</v>
      </c>
      <c r="C8" s="54">
        <v>150</v>
      </c>
      <c r="D8" s="54">
        <v>0</v>
      </c>
      <c r="E8" s="54">
        <v>0</v>
      </c>
      <c r="F8" s="59">
        <f>IF(B8="","",D8-E8)</f>
      </c>
      <c r="G8" s="56" t="s">
        <v>93</v>
      </c>
      <c r="H8" s="53"/>
      <c r="I8" s="1"/>
      <c r="J8" s="1"/>
    </row>
    <row r="9" ht="19" customHeight="1" spans="1:10" x14ac:dyDescent="0.25">
      <c r="A9" s="1"/>
      <c r="B9" s="52" t="s">
        <v>779</v>
      </c>
      <c r="C9" s="54">
        <v>120</v>
      </c>
      <c r="D9" s="54">
        <v>95</v>
      </c>
      <c r="E9" s="54">
        <v>95</v>
      </c>
      <c r="F9" s="61">
        <f>IF(B9="","",D9-E9)</f>
      </c>
      <c r="G9" s="56" t="s">
        <v>96</v>
      </c>
      <c r="H9" s="53"/>
      <c r="I9" s="1"/>
      <c r="J9" s="1"/>
    </row>
    <row r="10" ht="19" customHeight="1" spans="1:10" x14ac:dyDescent="0.25">
      <c r="A10" s="1"/>
      <c r="B10" s="52" t="s">
        <v>780</v>
      </c>
      <c r="C10" s="54">
        <v>400</v>
      </c>
      <c r="D10" s="54">
        <v>0</v>
      </c>
      <c r="E10" s="54">
        <v>0</v>
      </c>
      <c r="F10" s="59">
        <f>IF(B10="","",D10-E10)</f>
      </c>
      <c r="G10" s="56" t="s">
        <v>93</v>
      </c>
      <c r="H10" s="53"/>
      <c r="I10" s="1"/>
      <c r="J10" s="1"/>
    </row>
    <row r="11" ht="19" customHeight="1" spans="1:10" x14ac:dyDescent="0.25">
      <c r="A11" s="1"/>
      <c r="B11" s="52" t="s">
        <v>781</v>
      </c>
      <c r="C11" s="54">
        <v>700</v>
      </c>
      <c r="D11" s="54">
        <v>0</v>
      </c>
      <c r="E11" s="54">
        <v>0</v>
      </c>
      <c r="F11" s="61">
        <f>IF(B11="","",D11-E11)</f>
      </c>
      <c r="G11" s="56" t="s">
        <v>93</v>
      </c>
      <c r="H11" s="53"/>
      <c r="I11" s="1"/>
      <c r="J11" s="1"/>
    </row>
    <row r="12" ht="19" customHeight="1" spans="1:10" x14ac:dyDescent="0.25">
      <c r="A12" s="1"/>
      <c r="B12" s="52" t="s">
        <v>782</v>
      </c>
      <c r="C12" s="54">
        <v>500</v>
      </c>
      <c r="D12" s="54">
        <v>0</v>
      </c>
      <c r="E12" s="54">
        <v>0</v>
      </c>
      <c r="F12" s="59">
        <f>IF(B12="","",D12-E12)</f>
      </c>
      <c r="G12" s="56" t="s">
        <v>93</v>
      </c>
      <c r="H12" s="53"/>
      <c r="I12" s="1"/>
      <c r="J12" s="1"/>
    </row>
    <row r="13" ht="19" customHeight="1" spans="1:10" x14ac:dyDescent="0.25">
      <c r="A13" s="1"/>
      <c r="B13" s="52" t="s">
        <v>783</v>
      </c>
      <c r="C13" s="54">
        <v>130</v>
      </c>
      <c r="D13" s="54">
        <v>130</v>
      </c>
      <c r="E13" s="54">
        <v>130</v>
      </c>
      <c r="F13" s="61">
        <f>IF(B13="","",D13-E13)</f>
      </c>
      <c r="G13" s="56" t="s">
        <v>96</v>
      </c>
      <c r="H13" s="53"/>
      <c r="I13" s="1"/>
      <c r="J13" s="1"/>
    </row>
    <row r="14" ht="19" customHeight="1" spans="1:10" x14ac:dyDescent="0.25">
      <c r="A14" s="1"/>
      <c r="B14" s="52"/>
      <c r="C14" s="54"/>
      <c r="D14" s="54"/>
      <c r="E14" s="54"/>
      <c r="F14" s="59">
        <f>IF(B14="","",D14-E14)</f>
      </c>
      <c r="G14" s="56"/>
      <c r="H14" s="53"/>
      <c r="I14" s="1"/>
      <c r="J14" s="1"/>
    </row>
    <row r="15" ht="19" customHeight="1" spans="1:10" x14ac:dyDescent="0.25">
      <c r="A15" s="1"/>
      <c r="B15" s="52"/>
      <c r="C15" s="54"/>
      <c r="D15" s="54"/>
      <c r="E15" s="54"/>
      <c r="F15" s="61">
        <f>IF(B15="","",D15-E15)</f>
      </c>
      <c r="G15" s="56"/>
      <c r="H15" s="53"/>
      <c r="I15" s="1"/>
      <c r="J15" s="1"/>
    </row>
    <row r="16" ht="19" customHeight="1" spans="1:10" x14ac:dyDescent="0.25">
      <c r="A16" s="1"/>
      <c r="B16" s="52"/>
      <c r="C16" s="54"/>
      <c r="D16" s="54"/>
      <c r="E16" s="54"/>
      <c r="F16" s="59">
        <f>IF(B16="","",D16-E16)</f>
      </c>
      <c r="G16" s="56"/>
      <c r="H16" s="53"/>
      <c r="I16" s="1"/>
      <c r="J16" s="1"/>
    </row>
    <row r="17" ht="19" customHeight="1" spans="1:10" x14ac:dyDescent="0.25">
      <c r="A17" s="1"/>
      <c r="B17" s="52"/>
      <c r="C17" s="54"/>
      <c r="D17" s="54"/>
      <c r="E17" s="54"/>
      <c r="F17" s="61">
        <f>IF(B17="","",D17-E17)</f>
      </c>
      <c r="G17" s="56"/>
      <c r="H17" s="53"/>
      <c r="I17" s="1"/>
      <c r="J17" s="1"/>
    </row>
    <row r="18" ht="19" customHeight="1" spans="1:10" x14ac:dyDescent="0.25">
      <c r="A18" s="1"/>
      <c r="B18" s="52"/>
      <c r="C18" s="54"/>
      <c r="D18" s="54"/>
      <c r="E18" s="54"/>
      <c r="F18" s="59">
        <f>IF(B18="","",D18-E18)</f>
      </c>
      <c r="G18" s="56"/>
      <c r="H18" s="53"/>
      <c r="I18" s="1"/>
      <c r="J18" s="1"/>
    </row>
    <row r="19" ht="19" customHeight="1" spans="1:10" x14ac:dyDescent="0.25">
      <c r="A19" s="1"/>
      <c r="B19" s="52"/>
      <c r="C19" s="54"/>
      <c r="D19" s="54"/>
      <c r="E19" s="54"/>
      <c r="F19" s="61">
        <f>IF(B19="","",D19-E19)</f>
      </c>
      <c r="G19" s="56"/>
      <c r="H19" s="53"/>
      <c r="I19" s="1"/>
      <c r="J19" s="1"/>
    </row>
    <row r="20" ht="19" customHeight="1" spans="1:10" x14ac:dyDescent="0.25">
      <c r="A20" s="1"/>
      <c r="B20" s="52"/>
      <c r="C20" s="54"/>
      <c r="D20" s="54"/>
      <c r="E20" s="54"/>
      <c r="F20" s="59">
        <f>IF(B20="","",D20-E20)</f>
      </c>
      <c r="G20" s="56"/>
      <c r="H20" s="53"/>
      <c r="I20" s="1"/>
      <c r="J20" s="1"/>
    </row>
    <row r="21" ht="19" customHeight="1" spans="1:10" x14ac:dyDescent="0.25">
      <c r="A21" s="1"/>
      <c r="B21" s="52"/>
      <c r="C21" s="54"/>
      <c r="D21" s="54"/>
      <c r="E21" s="54"/>
      <c r="F21" s="61">
        <f>IF(B21="","",D21-E21)</f>
      </c>
      <c r="G21" s="56"/>
      <c r="H21" s="53"/>
      <c r="I21" s="1"/>
      <c r="J21" s="1"/>
    </row>
    <row r="22" ht="19" customHeight="1" spans="1:10" x14ac:dyDescent="0.25">
      <c r="A22" s="1"/>
      <c r="B22" s="52"/>
      <c r="C22" s="54"/>
      <c r="D22" s="54"/>
      <c r="E22" s="54"/>
      <c r="F22" s="59">
        <f>IF(B22="","",D22-E22)</f>
      </c>
      <c r="G22" s="56"/>
      <c r="H22" s="53"/>
      <c r="I22" s="1"/>
      <c r="J22" s="1"/>
    </row>
    <row r="23" ht="19" customHeight="1" spans="1:10" x14ac:dyDescent="0.25">
      <c r="A23" s="1"/>
      <c r="B23" s="52"/>
      <c r="C23" s="54"/>
      <c r="D23" s="54"/>
      <c r="E23" s="54"/>
      <c r="F23" s="61">
        <f>IF(B23="","",D23-E23)</f>
      </c>
      <c r="G23" s="56"/>
      <c r="H23" s="53"/>
      <c r="I23" s="1"/>
      <c r="J23" s="1"/>
    </row>
    <row r="24" ht="19" customHeight="1" spans="1:10" x14ac:dyDescent="0.25">
      <c r="A24" s="1"/>
      <c r="B24" s="52"/>
      <c r="C24" s="54"/>
      <c r="D24" s="54"/>
      <c r="E24" s="54"/>
      <c r="F24" s="59">
        <f>IF(B24="","",D24-E24)</f>
      </c>
      <c r="G24" s="56"/>
      <c r="H24" s="53"/>
      <c r="I24" s="1"/>
      <c r="J24" s="1"/>
    </row>
    <row r="25" ht="19" customHeight="1" spans="1:10" x14ac:dyDescent="0.25">
      <c r="A25" s="1"/>
      <c r="B25" s="52"/>
      <c r="C25" s="54"/>
      <c r="D25" s="54"/>
      <c r="E25" s="54"/>
      <c r="F25" s="61">
        <f>IF(B25="","",D25-E25)</f>
      </c>
      <c r="G25" s="56"/>
      <c r="H25" s="53"/>
      <c r="I25" s="1"/>
      <c r="J25" s="1"/>
    </row>
    <row r="26" ht="24" customHeight="1" spans="1:10" x14ac:dyDescent="0.25">
      <c r="A26" s="1"/>
      <c r="B26" s="62" t="s">
        <v>113</v>
      </c>
      <c r="C26" s="64">
        <f>SUM(C6:C25)</f>
      </c>
      <c r="D26" s="64">
        <f>SUM(D6:D25)</f>
      </c>
      <c r="E26" s="64">
        <f>SUM(E6:E25)</f>
      </c>
      <c r="F26" s="64">
        <f>SUM(F6:F25)</f>
      </c>
      <c r="G26" s="63"/>
      <c r="H26" s="63"/>
      <c r="I26" s="1"/>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2">
    <mergeCell ref="B2:H2"/>
    <mergeCell ref="B3:H3"/>
  </mergeCells>
  <conditionalFormatting sqref="G6:G25">
    <cfRule type="expression" dxfId="133" priority="1">
      <formula>G6="Yes"</formula>
    </cfRule>
  </conditionalFormatting>
  <dataValidations count="1">
    <dataValidation type="list" allowBlank="1" sqref="G6:G25">
      <formula1>"Yes,No"</formula1>
    </dataValidation>
  </dataValidations>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pageSetUpPr fitToPage="1"/>
  </sheetPr>
  <dimension ref="A1:N40"/>
  <sheetViews>
    <sheetView workbookViewId="0" showGridLines="0" zoomScale="100"/>
  </sheetViews>
  <sheetFormatPr defaultRowHeight="15" outlineLevelRow="0" outlineLevelCol="0" x14ac:dyDescent="55"/>
  <cols>
    <col min="1" max="1" width="3" customWidth="1"/>
    <col min="2" max="2" width="24" customWidth="1"/>
    <col min="3" max="3" width="17" customWidth="1"/>
    <col min="4" max="4" width="11" customWidth="1"/>
    <col min="5" max="5" width="12" customWidth="1"/>
    <col min="6" max="7" width="13" customWidth="1"/>
    <col min="8" max="8" width="24" customWidth="1"/>
    <col min="9" max="9" width="12" customWidth="1"/>
    <col min="10" max="10" width="26" customWidth="1"/>
    <col min="11" max="11" width="22"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294</v>
      </c>
      <c r="C2" s="34"/>
      <c r="D2" s="34"/>
      <c r="E2" s="34"/>
      <c r="F2" s="34"/>
      <c r="G2" s="34"/>
      <c r="H2" s="34"/>
      <c r="I2" s="34"/>
      <c r="J2" s="34"/>
      <c r="K2" s="34"/>
      <c r="L2" s="34"/>
      <c r="M2" s="1"/>
      <c r="N2" s="1"/>
    </row>
    <row r="3" ht="18" customHeight="1" spans="1:14" x14ac:dyDescent="0.25">
      <c r="A3" s="1"/>
      <c r="B3" s="35" t="s">
        <v>295</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49" t="s">
        <v>117</v>
      </c>
      <c r="C5" s="49" t="s">
        <v>242</v>
      </c>
      <c r="D5" s="51" t="s">
        <v>241</v>
      </c>
      <c r="E5" s="51" t="s">
        <v>296</v>
      </c>
      <c r="F5" s="51" t="s">
        <v>297</v>
      </c>
      <c r="G5" s="51" t="s">
        <v>298</v>
      </c>
      <c r="H5" s="49" t="s">
        <v>299</v>
      </c>
      <c r="I5" s="51" t="s">
        <v>300</v>
      </c>
      <c r="J5" s="49" t="s">
        <v>301</v>
      </c>
      <c r="K5" s="49" t="s">
        <v>91</v>
      </c>
      <c r="L5" s="1"/>
      <c r="M5" s="1"/>
      <c r="N5" s="1"/>
    </row>
    <row r="6" ht="19" customHeight="1" spans="1:14" x14ac:dyDescent="0.25">
      <c r="A6" s="1"/>
      <c r="B6" s="66">
        <f>IFERROR(INDEX('Guest List'!$C6:$C205,MATCH(SMALL('Guest List'!$R6:$R205,1),'Guest List'!$R6:$R205,0)),"")</f>
      </c>
      <c r="C6" s="67">
        <f>IF(B6="","",IFERROR(INDEX('Guest List'!$F6:$F205,MATCH(B6,'Guest List'!$C6:$C205,0)),""))</f>
      </c>
      <c r="D6" s="72">
        <f>IF(B6="","",IFERROR(INDEX('Guest List'!$E6:$E205,MATCH(B6,'Guest List'!$C6:$C205,0)),""))</f>
      </c>
      <c r="E6" s="56" t="s">
        <v>302</v>
      </c>
      <c r="F6" s="56" t="s">
        <v>303</v>
      </c>
      <c r="G6" s="58"/>
      <c r="H6" s="53" t="s">
        <v>304</v>
      </c>
      <c r="I6" s="56" t="s">
        <v>93</v>
      </c>
      <c r="J6" s="53"/>
      <c r="K6" s="53"/>
      <c r="L6" s="1"/>
      <c r="M6" s="1"/>
      <c r="N6" s="1"/>
    </row>
    <row r="7" ht="19" customHeight="1" spans="1:14" x14ac:dyDescent="0.25">
      <c r="A7" s="1"/>
      <c r="B7" s="68">
        <f>IFERROR(INDEX('Guest List'!$C6:$C205,MATCH(SMALL('Guest List'!$R6:$R205,2),'Guest List'!$R6:$R205,0)),"")</f>
      </c>
      <c r="C7" s="69">
        <f>IF(B7="","",IFERROR(INDEX('Guest List'!$F6:$F205,MATCH(B7,'Guest List'!$C6:$C205,0)),""))</f>
      </c>
      <c r="D7" s="74">
        <f>IF(B7="","",IFERROR(INDEX('Guest List'!$E6:$E205,MATCH(B7,'Guest List'!$C6:$C205,0)),""))</f>
      </c>
      <c r="E7" s="56" t="s">
        <v>305</v>
      </c>
      <c r="F7" s="56" t="s">
        <v>93</v>
      </c>
      <c r="G7" s="58">
        <v>46271</v>
      </c>
      <c r="H7" s="53" t="s">
        <v>306</v>
      </c>
      <c r="I7" s="56" t="s">
        <v>93</v>
      </c>
      <c r="J7" s="53"/>
      <c r="K7" s="53"/>
      <c r="L7" s="1"/>
      <c r="M7" s="1"/>
      <c r="N7" s="1"/>
    </row>
    <row r="8" ht="19" customHeight="1" spans="1:14" x14ac:dyDescent="0.25">
      <c r="A8" s="1"/>
      <c r="B8" s="66">
        <f>IFERROR(INDEX('Guest List'!$C6:$C205,MATCH(SMALL('Guest List'!$R6:$R205,3),'Guest List'!$R6:$R205,0)),"")</f>
      </c>
      <c r="C8" s="67">
        <f>IF(B8="","",IFERROR(INDEX('Guest List'!$F6:$F205,MATCH(B8,'Guest List'!$C6:$C205,0)),""))</f>
      </c>
      <c r="D8" s="72">
        <f>IF(B8="","",IFERROR(INDEX('Guest List'!$E6:$E205,MATCH(B8,'Guest List'!$C6:$C205,0)),""))</f>
      </c>
      <c r="E8" s="56" t="s">
        <v>302</v>
      </c>
      <c r="F8" s="56" t="s">
        <v>303</v>
      </c>
      <c r="G8" s="58"/>
      <c r="H8" s="53" t="s">
        <v>307</v>
      </c>
      <c r="I8" s="56" t="s">
        <v>93</v>
      </c>
      <c r="J8" s="53"/>
      <c r="K8" s="53"/>
      <c r="L8" s="1"/>
      <c r="M8" s="1"/>
      <c r="N8" s="1"/>
    </row>
    <row r="9" ht="19" customHeight="1" spans="1:14" x14ac:dyDescent="0.25">
      <c r="A9" s="1"/>
      <c r="B9" s="68">
        <f>IFERROR(INDEX('Guest List'!$C6:$C205,MATCH(SMALL('Guest List'!$R6:$R205,4),'Guest List'!$R6:$R205,0)),"")</f>
      </c>
      <c r="C9" s="69">
        <f>IF(B9="","",IFERROR(INDEX('Guest List'!$F6:$F205,MATCH(B9,'Guest List'!$C6:$C205,0)),""))</f>
      </c>
      <c r="D9" s="74">
        <f>IF(B9="","",IFERROR(INDEX('Guest List'!$E6:$E205,MATCH(B9,'Guest List'!$C6:$C205,0)),""))</f>
      </c>
      <c r="E9" s="56" t="s">
        <v>308</v>
      </c>
      <c r="F9" s="56" t="s">
        <v>93</v>
      </c>
      <c r="G9" s="58">
        <v>46271</v>
      </c>
      <c r="H9" s="53" t="s">
        <v>309</v>
      </c>
      <c r="I9" s="56" t="s">
        <v>93</v>
      </c>
      <c r="J9" s="53"/>
      <c r="K9" s="53"/>
      <c r="L9" s="1"/>
      <c r="M9" s="1"/>
      <c r="N9" s="1"/>
    </row>
    <row r="10" ht="19" customHeight="1" spans="1:14" x14ac:dyDescent="0.25">
      <c r="A10" s="1"/>
      <c r="B10" s="66">
        <f>IFERROR(INDEX('Guest List'!$C6:$C205,MATCH(SMALL('Guest List'!$R6:$R205,5),'Guest List'!$R6:$R205,0)),"")</f>
      </c>
      <c r="C10" s="67">
        <f>IF(B10="","",IFERROR(INDEX('Guest List'!$F6:$F205,MATCH(B10,'Guest List'!$C6:$C205,0)),""))</f>
      </c>
      <c r="D10" s="72">
        <f>IF(B10="","",IFERROR(INDEX('Guest List'!$E6:$E205,MATCH(B10,'Guest List'!$C6:$C205,0)),""))</f>
      </c>
      <c r="E10" s="56" t="s">
        <v>310</v>
      </c>
      <c r="F10" s="56" t="s">
        <v>93</v>
      </c>
      <c r="G10" s="58">
        <v>46276</v>
      </c>
      <c r="H10" s="53" t="s">
        <v>311</v>
      </c>
      <c r="I10" s="56" t="s">
        <v>93</v>
      </c>
      <c r="J10" s="53"/>
      <c r="K10" s="53"/>
      <c r="L10" s="1"/>
      <c r="M10" s="1"/>
      <c r="N10" s="1"/>
    </row>
    <row r="11" ht="19" customHeight="1" spans="1:14" x14ac:dyDescent="0.25">
      <c r="A11" s="1"/>
      <c r="B11" s="68">
        <f>IFERROR(INDEX('Guest List'!$C6:$C205,MATCH(SMALL('Guest List'!$R6:$R205,6),'Guest List'!$R6:$R205,0)),"")</f>
      </c>
      <c r="C11" s="69">
        <f>IF(B11="","",IFERROR(INDEX('Guest List'!$F6:$F205,MATCH(B11,'Guest List'!$C6:$C205,0)),""))</f>
      </c>
      <c r="D11" s="74">
        <f>IF(B11="","",IFERROR(INDEX('Guest List'!$E6:$E205,MATCH(B11,'Guest List'!$C6:$C205,0)),""))</f>
      </c>
      <c r="E11" s="56" t="s">
        <v>302</v>
      </c>
      <c r="F11" s="56" t="s">
        <v>303</v>
      </c>
      <c r="G11" s="58"/>
      <c r="H11" s="53" t="s">
        <v>312</v>
      </c>
      <c r="I11" s="56" t="s">
        <v>93</v>
      </c>
      <c r="J11" s="53"/>
      <c r="K11" s="53"/>
      <c r="L11" s="1"/>
      <c r="M11" s="1"/>
      <c r="N11" s="1"/>
    </row>
    <row r="12" ht="19" customHeight="1" spans="1:14" x14ac:dyDescent="0.25">
      <c r="A12" s="1"/>
      <c r="B12" s="66">
        <f>IFERROR(INDEX('Guest List'!$C6:$C205,MATCH(SMALL('Guest List'!$R6:$R205,7),'Guest List'!$R6:$R205,0)),"")</f>
      </c>
      <c r="C12" s="67">
        <f>IF(B12="","",IFERROR(INDEX('Guest List'!$F6:$F205,MATCH(B12,'Guest List'!$C6:$C205,0)),""))</f>
      </c>
      <c r="D12" s="72">
        <f>IF(B12="","",IFERROR(INDEX('Guest List'!$E6:$E205,MATCH(B12,'Guest List'!$C6:$C205,0)),""))</f>
      </c>
      <c r="E12" s="56" t="s">
        <v>313</v>
      </c>
      <c r="F12" s="56" t="s">
        <v>93</v>
      </c>
      <c r="G12" s="58">
        <v>46276</v>
      </c>
      <c r="H12" s="53" t="s">
        <v>314</v>
      </c>
      <c r="I12" s="56" t="s">
        <v>93</v>
      </c>
      <c r="J12" s="53"/>
      <c r="K12" s="53"/>
      <c r="L12" s="1"/>
      <c r="M12" s="1"/>
      <c r="N12" s="1"/>
    </row>
    <row r="13" ht="19" customHeight="1" spans="1:14" x14ac:dyDescent="0.25">
      <c r="A13" s="1"/>
      <c r="B13" s="68">
        <f>IFERROR(INDEX('Guest List'!$C6:$C205,MATCH(SMALL('Guest List'!$R6:$R205,8),'Guest List'!$R6:$R205,0)),"")</f>
      </c>
      <c r="C13" s="69">
        <f>IF(B13="","",IFERROR(INDEX('Guest List'!$F6:$F205,MATCH(B13,'Guest List'!$C6:$C205,0)),""))</f>
      </c>
      <c r="D13" s="74">
        <f>IF(B13="","",IFERROR(INDEX('Guest List'!$E6:$E205,MATCH(B13,'Guest List'!$C6:$C205,0)),""))</f>
      </c>
      <c r="E13" s="56" t="s">
        <v>315</v>
      </c>
      <c r="F13" s="56" t="s">
        <v>93</v>
      </c>
      <c r="G13" s="58">
        <v>46271</v>
      </c>
      <c r="H13" s="53" t="s">
        <v>316</v>
      </c>
      <c r="I13" s="56" t="s">
        <v>93</v>
      </c>
      <c r="J13" s="53"/>
      <c r="K13" s="53"/>
      <c r="L13" s="1"/>
      <c r="M13" s="1"/>
      <c r="N13" s="1"/>
    </row>
    <row r="14" ht="19" customHeight="1" spans="1:14" x14ac:dyDescent="0.25">
      <c r="A14" s="1"/>
      <c r="B14" s="66">
        <f>IFERROR(INDEX('Guest List'!$C6:$C205,MATCH(SMALL('Guest List'!$R6:$R205,9),'Guest List'!$R6:$R205,0)),"")</f>
      </c>
      <c r="C14" s="67">
        <f>IF(B14="","",IFERROR(INDEX('Guest List'!$F6:$F205,MATCH(B14,'Guest List'!$C6:$C205,0)),""))</f>
      </c>
      <c r="D14" s="72">
        <f>IF(B14="","",IFERROR(INDEX('Guest List'!$E6:$E205,MATCH(B14,'Guest List'!$C6:$C205,0)),""))</f>
      </c>
      <c r="E14" s="56" t="s">
        <v>302</v>
      </c>
      <c r="F14" s="56" t="s">
        <v>303</v>
      </c>
      <c r="G14" s="58"/>
      <c r="H14" s="53" t="s">
        <v>317</v>
      </c>
      <c r="I14" s="56" t="s">
        <v>93</v>
      </c>
      <c r="J14" s="53"/>
      <c r="K14" s="53"/>
      <c r="L14" s="1"/>
      <c r="M14" s="1"/>
      <c r="N14" s="1"/>
    </row>
    <row r="15" ht="19" customHeight="1" spans="1:14" x14ac:dyDescent="0.25">
      <c r="A15" s="1"/>
      <c r="B15" s="68">
        <f>IFERROR(INDEX('Guest List'!$C6:$C205,MATCH(SMALL('Guest List'!$R6:$R205,10),'Guest List'!$R6:$R205,0)),"")</f>
      </c>
      <c r="C15" s="69">
        <f>IF(B15="","",IFERROR(INDEX('Guest List'!$F6:$F205,MATCH(B15,'Guest List'!$C6:$C205,0)),""))</f>
      </c>
      <c r="D15" s="74">
        <f>IF(B15="","",IFERROR(INDEX('Guest List'!$E6:$E205,MATCH(B15,'Guest List'!$C6:$C205,0)),""))</f>
      </c>
      <c r="E15" s="56"/>
      <c r="F15" s="56"/>
      <c r="G15" s="58"/>
      <c r="H15" s="53"/>
      <c r="I15" s="56"/>
      <c r="J15" s="53"/>
      <c r="K15" s="53"/>
      <c r="L15" s="1"/>
      <c r="M15" s="1"/>
      <c r="N15" s="1"/>
    </row>
    <row r="16" ht="19" customHeight="1" spans="1:14" x14ac:dyDescent="0.25">
      <c r="A16" s="1"/>
      <c r="B16" s="66">
        <f>IFERROR(INDEX('Guest List'!$C6:$C205,MATCH(SMALL('Guest List'!$R6:$R205,11),'Guest List'!$R6:$R205,0)),"")</f>
      </c>
      <c r="C16" s="67">
        <f>IF(B16="","",IFERROR(INDEX('Guest List'!$F6:$F205,MATCH(B16,'Guest List'!$C6:$C205,0)),""))</f>
      </c>
      <c r="D16" s="72">
        <f>IF(B16="","",IFERROR(INDEX('Guest List'!$E6:$E205,MATCH(B16,'Guest List'!$C6:$C205,0)),""))</f>
      </c>
      <c r="E16" s="56"/>
      <c r="F16" s="56"/>
      <c r="G16" s="58"/>
      <c r="H16" s="53"/>
      <c r="I16" s="56"/>
      <c r="J16" s="53"/>
      <c r="K16" s="53"/>
      <c r="L16" s="1"/>
      <c r="M16" s="1"/>
      <c r="N16" s="1"/>
    </row>
    <row r="17" ht="19" customHeight="1" spans="1:14" x14ac:dyDescent="0.25">
      <c r="A17" s="1"/>
      <c r="B17" s="68">
        <f>IFERROR(INDEX('Guest List'!$C6:$C205,MATCH(SMALL('Guest List'!$R6:$R205,12),'Guest List'!$R6:$R205,0)),"")</f>
      </c>
      <c r="C17" s="69">
        <f>IF(B17="","",IFERROR(INDEX('Guest List'!$F6:$F205,MATCH(B17,'Guest List'!$C6:$C205,0)),""))</f>
      </c>
      <c r="D17" s="74">
        <f>IF(B17="","",IFERROR(INDEX('Guest List'!$E6:$E205,MATCH(B17,'Guest List'!$C6:$C205,0)),""))</f>
      </c>
      <c r="E17" s="56"/>
      <c r="F17" s="56"/>
      <c r="G17" s="58"/>
      <c r="H17" s="53"/>
      <c r="I17" s="56"/>
      <c r="J17" s="53"/>
      <c r="K17" s="53"/>
      <c r="L17" s="1"/>
      <c r="M17" s="1"/>
      <c r="N17" s="1"/>
    </row>
    <row r="18" ht="19" customHeight="1" spans="1:14" x14ac:dyDescent="0.25">
      <c r="A18" s="1"/>
      <c r="B18" s="66">
        <f>IFERROR(INDEX('Guest List'!$C6:$C205,MATCH(SMALL('Guest List'!$R6:$R205,13),'Guest List'!$R6:$R205,0)),"")</f>
      </c>
      <c r="C18" s="67">
        <f>IF(B18="","",IFERROR(INDEX('Guest List'!$F6:$F205,MATCH(B18,'Guest List'!$C6:$C205,0)),""))</f>
      </c>
      <c r="D18" s="72">
        <f>IF(B18="","",IFERROR(INDEX('Guest List'!$E6:$E205,MATCH(B18,'Guest List'!$C6:$C205,0)),""))</f>
      </c>
      <c r="E18" s="56"/>
      <c r="F18" s="56"/>
      <c r="G18" s="58"/>
      <c r="H18" s="53"/>
      <c r="I18" s="56"/>
      <c r="J18" s="53"/>
      <c r="K18" s="53"/>
      <c r="L18" s="1"/>
      <c r="M18" s="1"/>
      <c r="N18" s="1"/>
    </row>
    <row r="19" ht="19" customHeight="1" spans="1:14" x14ac:dyDescent="0.25">
      <c r="A19" s="1"/>
      <c r="B19" s="68">
        <f>IFERROR(INDEX('Guest List'!$C6:$C205,MATCH(SMALL('Guest List'!$R6:$R205,14),'Guest List'!$R6:$R205,0)),"")</f>
      </c>
      <c r="C19" s="69">
        <f>IF(B19="","",IFERROR(INDEX('Guest List'!$F6:$F205,MATCH(B19,'Guest List'!$C6:$C205,0)),""))</f>
      </c>
      <c r="D19" s="74">
        <f>IF(B19="","",IFERROR(INDEX('Guest List'!$E6:$E205,MATCH(B19,'Guest List'!$C6:$C205,0)),""))</f>
      </c>
      <c r="E19" s="56"/>
      <c r="F19" s="56"/>
      <c r="G19" s="58"/>
      <c r="H19" s="53"/>
      <c r="I19" s="56"/>
      <c r="J19" s="53"/>
      <c r="K19" s="53"/>
      <c r="L19" s="1"/>
      <c r="M19" s="1"/>
      <c r="N19" s="1"/>
    </row>
    <row r="20" ht="19" customHeight="1" spans="1:14" x14ac:dyDescent="0.25">
      <c r="A20" s="1"/>
      <c r="B20" s="66">
        <f>IFERROR(INDEX('Guest List'!$C6:$C205,MATCH(SMALL('Guest List'!$R6:$R205,15),'Guest List'!$R6:$R205,0)),"")</f>
      </c>
      <c r="C20" s="67">
        <f>IF(B20="","",IFERROR(INDEX('Guest List'!$F6:$F205,MATCH(B20,'Guest List'!$C6:$C205,0)),""))</f>
      </c>
      <c r="D20" s="72">
        <f>IF(B20="","",IFERROR(INDEX('Guest List'!$E6:$E205,MATCH(B20,'Guest List'!$C6:$C205,0)),""))</f>
      </c>
      <c r="E20" s="56"/>
      <c r="F20" s="56"/>
      <c r="G20" s="58"/>
      <c r="H20" s="53"/>
      <c r="I20" s="56"/>
      <c r="J20" s="53"/>
      <c r="K20" s="53"/>
      <c r="L20" s="1"/>
      <c r="M20" s="1"/>
      <c r="N20" s="1"/>
    </row>
    <row r="21" ht="19" customHeight="1" spans="1:14" x14ac:dyDescent="0.25">
      <c r="A21" s="1"/>
      <c r="B21" s="68">
        <f>IFERROR(INDEX('Guest List'!$C6:$C205,MATCH(SMALL('Guest List'!$R6:$R205,16),'Guest List'!$R6:$R205,0)),"")</f>
      </c>
      <c r="C21" s="69">
        <f>IF(B21="","",IFERROR(INDEX('Guest List'!$F6:$F205,MATCH(B21,'Guest List'!$C6:$C205,0)),""))</f>
      </c>
      <c r="D21" s="74">
        <f>IF(B21="","",IFERROR(INDEX('Guest List'!$E6:$E205,MATCH(B21,'Guest List'!$C6:$C205,0)),""))</f>
      </c>
      <c r="E21" s="56"/>
      <c r="F21" s="56"/>
      <c r="G21" s="58"/>
      <c r="H21" s="53"/>
      <c r="I21" s="56"/>
      <c r="J21" s="53"/>
      <c r="K21" s="53"/>
      <c r="L21" s="1"/>
      <c r="M21" s="1"/>
      <c r="N21" s="1"/>
    </row>
    <row r="22" ht="19" customHeight="1" spans="1:14" x14ac:dyDescent="0.25">
      <c r="A22" s="1"/>
      <c r="B22" s="66">
        <f>IFERROR(INDEX('Guest List'!$C6:$C205,MATCH(SMALL('Guest List'!$R6:$R205,17),'Guest List'!$R6:$R205,0)),"")</f>
      </c>
      <c r="C22" s="67">
        <f>IF(B22="","",IFERROR(INDEX('Guest List'!$F6:$F205,MATCH(B22,'Guest List'!$C6:$C205,0)),""))</f>
      </c>
      <c r="D22" s="72">
        <f>IF(B22="","",IFERROR(INDEX('Guest List'!$E6:$E205,MATCH(B22,'Guest List'!$C6:$C205,0)),""))</f>
      </c>
      <c r="E22" s="56"/>
      <c r="F22" s="56"/>
      <c r="G22" s="58"/>
      <c r="H22" s="53"/>
      <c r="I22" s="56"/>
      <c r="J22" s="53"/>
      <c r="K22" s="53"/>
      <c r="L22" s="1"/>
      <c r="M22" s="1"/>
      <c r="N22" s="1"/>
    </row>
    <row r="23" ht="19" customHeight="1" spans="1:14" x14ac:dyDescent="0.25">
      <c r="A23" s="1"/>
      <c r="B23" s="68">
        <f>IFERROR(INDEX('Guest List'!$C6:$C205,MATCH(SMALL('Guest List'!$R6:$R205,18),'Guest List'!$R6:$R205,0)),"")</f>
      </c>
      <c r="C23" s="69">
        <f>IF(B23="","",IFERROR(INDEX('Guest List'!$F6:$F205,MATCH(B23,'Guest List'!$C6:$C205,0)),""))</f>
      </c>
      <c r="D23" s="74">
        <f>IF(B23="","",IFERROR(INDEX('Guest List'!$E6:$E205,MATCH(B23,'Guest List'!$C6:$C205,0)),""))</f>
      </c>
      <c r="E23" s="56"/>
      <c r="F23" s="56"/>
      <c r="G23" s="58"/>
      <c r="H23" s="53"/>
      <c r="I23" s="56"/>
      <c r="J23" s="53"/>
      <c r="K23" s="53"/>
      <c r="L23" s="1"/>
      <c r="M23" s="1"/>
      <c r="N23" s="1"/>
    </row>
    <row r="24" ht="19" customHeight="1" spans="1:14" x14ac:dyDescent="0.25">
      <c r="A24" s="1"/>
      <c r="B24" s="66">
        <f>IFERROR(INDEX('Guest List'!$C6:$C205,MATCH(SMALL('Guest List'!$R6:$R205,19),'Guest List'!$R6:$R205,0)),"")</f>
      </c>
      <c r="C24" s="67">
        <f>IF(B24="","",IFERROR(INDEX('Guest List'!$F6:$F205,MATCH(B24,'Guest List'!$C6:$C205,0)),""))</f>
      </c>
      <c r="D24" s="72">
        <f>IF(B24="","",IFERROR(INDEX('Guest List'!$E6:$E205,MATCH(B24,'Guest List'!$C6:$C205,0)),""))</f>
      </c>
      <c r="E24" s="56"/>
      <c r="F24" s="56"/>
      <c r="G24" s="58"/>
      <c r="H24" s="53"/>
      <c r="I24" s="56"/>
      <c r="J24" s="53"/>
      <c r="K24" s="53"/>
      <c r="L24" s="1"/>
      <c r="M24" s="1"/>
      <c r="N24" s="1"/>
    </row>
    <row r="25" ht="19" customHeight="1" spans="1:14" x14ac:dyDescent="0.25">
      <c r="A25" s="1"/>
      <c r="B25" s="68">
        <f>IFERROR(INDEX('Guest List'!$C6:$C205,MATCH(SMALL('Guest List'!$R6:$R205,20),'Guest List'!$R6:$R205,0)),"")</f>
      </c>
      <c r="C25" s="69">
        <f>IF(B25="","",IFERROR(INDEX('Guest List'!$F6:$F205,MATCH(B25,'Guest List'!$C6:$C205,0)),""))</f>
      </c>
      <c r="D25" s="74">
        <f>IF(B25="","",IFERROR(INDEX('Guest List'!$E6:$E205,MATCH(B25,'Guest List'!$C6:$C205,0)),""))</f>
      </c>
      <c r="E25" s="56"/>
      <c r="F25" s="56"/>
      <c r="G25" s="58"/>
      <c r="H25" s="53"/>
      <c r="I25" s="56"/>
      <c r="J25" s="53"/>
      <c r="K25" s="53"/>
      <c r="L25" s="1"/>
      <c r="M25" s="1"/>
      <c r="N25" s="1"/>
    </row>
    <row r="26" ht="19" customHeight="1" spans="1:14" x14ac:dyDescent="0.25">
      <c r="A26" s="1"/>
      <c r="B26" s="66">
        <f>IFERROR(INDEX('Guest List'!$C6:$C205,MATCH(SMALL('Guest List'!$R6:$R205,21),'Guest List'!$R6:$R205,0)),"")</f>
      </c>
      <c r="C26" s="67">
        <f>IF(B26="","",IFERROR(INDEX('Guest List'!$F6:$F205,MATCH(B26,'Guest List'!$C6:$C205,0)),""))</f>
      </c>
      <c r="D26" s="72">
        <f>IF(B26="","",IFERROR(INDEX('Guest List'!$E6:$E205,MATCH(B26,'Guest List'!$C6:$C205,0)),""))</f>
      </c>
      <c r="E26" s="56"/>
      <c r="F26" s="56"/>
      <c r="G26" s="58"/>
      <c r="H26" s="53"/>
      <c r="I26" s="56"/>
      <c r="J26" s="53"/>
      <c r="K26" s="53"/>
      <c r="L26" s="1"/>
      <c r="M26" s="1"/>
      <c r="N26" s="1"/>
    </row>
    <row r="27" ht="19" customHeight="1" spans="1:14" x14ac:dyDescent="0.25">
      <c r="A27" s="1"/>
      <c r="B27" s="68">
        <f>IFERROR(INDEX('Guest List'!$C6:$C205,MATCH(SMALL('Guest List'!$R6:$R205,22),'Guest List'!$R6:$R205,0)),"")</f>
      </c>
      <c r="C27" s="69">
        <f>IF(B27="","",IFERROR(INDEX('Guest List'!$F6:$F205,MATCH(B27,'Guest List'!$C6:$C205,0)),""))</f>
      </c>
      <c r="D27" s="74">
        <f>IF(B27="","",IFERROR(INDEX('Guest List'!$E6:$E205,MATCH(B27,'Guest List'!$C6:$C205,0)),""))</f>
      </c>
      <c r="E27" s="56"/>
      <c r="F27" s="56"/>
      <c r="G27" s="58"/>
      <c r="H27" s="53"/>
      <c r="I27" s="56"/>
      <c r="J27" s="53"/>
      <c r="K27" s="53"/>
      <c r="L27" s="1"/>
      <c r="M27" s="1"/>
      <c r="N27" s="1"/>
    </row>
    <row r="28" ht="19" customHeight="1" spans="1:14" x14ac:dyDescent="0.25">
      <c r="A28" s="1"/>
      <c r="B28" s="66">
        <f>IFERROR(INDEX('Guest List'!$C6:$C205,MATCH(SMALL('Guest List'!$R6:$R205,23),'Guest List'!$R6:$R205,0)),"")</f>
      </c>
      <c r="C28" s="67">
        <f>IF(B28="","",IFERROR(INDEX('Guest List'!$F6:$F205,MATCH(B28,'Guest List'!$C6:$C205,0)),""))</f>
      </c>
      <c r="D28" s="72">
        <f>IF(B28="","",IFERROR(INDEX('Guest List'!$E6:$E205,MATCH(B28,'Guest List'!$C6:$C205,0)),""))</f>
      </c>
      <c r="E28" s="56"/>
      <c r="F28" s="56"/>
      <c r="G28" s="58"/>
      <c r="H28" s="53"/>
      <c r="I28" s="56"/>
      <c r="J28" s="53"/>
      <c r="K28" s="53"/>
      <c r="L28" s="1"/>
      <c r="M28" s="1"/>
      <c r="N28" s="1"/>
    </row>
    <row r="29" ht="19" customHeight="1" spans="1:14" x14ac:dyDescent="0.25">
      <c r="A29" s="1"/>
      <c r="B29" s="68">
        <f>IFERROR(INDEX('Guest List'!$C6:$C205,MATCH(SMALL('Guest List'!$R6:$R205,24),'Guest List'!$R6:$R205,0)),"")</f>
      </c>
      <c r="C29" s="69">
        <f>IF(B29="","",IFERROR(INDEX('Guest List'!$F6:$F205,MATCH(B29,'Guest List'!$C6:$C205,0)),""))</f>
      </c>
      <c r="D29" s="74">
        <f>IF(B29="","",IFERROR(INDEX('Guest List'!$E6:$E205,MATCH(B29,'Guest List'!$C6:$C205,0)),""))</f>
      </c>
      <c r="E29" s="56"/>
      <c r="F29" s="56"/>
      <c r="G29" s="58"/>
      <c r="H29" s="53"/>
      <c r="I29" s="56"/>
      <c r="J29" s="53"/>
      <c r="K29" s="53"/>
      <c r="L29" s="1"/>
      <c r="M29" s="1"/>
      <c r="N29" s="1"/>
    </row>
    <row r="30" spans="1:14" x14ac:dyDescent="0.25">
      <c r="A30" s="1"/>
      <c r="B30" s="1"/>
      <c r="C30" s="1"/>
      <c r="D30" s="1"/>
      <c r="E30" s="1"/>
      <c r="F30" s="1"/>
      <c r="G30" s="1"/>
      <c r="H30" s="1"/>
      <c r="I30" s="1"/>
      <c r="J30" s="1"/>
      <c r="K30" s="1"/>
      <c r="L30" s="1"/>
      <c r="M30" s="1"/>
      <c r="N30" s="1"/>
    </row>
    <row r="31" ht="18" customHeight="1" spans="1:14" x14ac:dyDescent="0.25">
      <c r="A31" s="1"/>
      <c r="B31" s="48" t="s">
        <v>318</v>
      </c>
      <c r="C31" s="48"/>
      <c r="D31" s="48"/>
      <c r="E31" s="48"/>
      <c r="F31" s="48"/>
      <c r="G31" s="48"/>
      <c r="H31" s="48"/>
      <c r="I31" s="48"/>
      <c r="J31" s="48"/>
      <c r="K31" s="48"/>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sheetData>
  <mergeCells count="3">
    <mergeCell ref="B2:L2"/>
    <mergeCell ref="B3:L3"/>
    <mergeCell ref="B31:K31"/>
  </mergeCells>
  <conditionalFormatting sqref="F6:F29">
    <cfRule type="expression" dxfId="21" priority="1">
      <formula>F6="Yes"</formula>
    </cfRule>
  </conditionalFormatting>
  <conditionalFormatting sqref="I6:I29">
    <cfRule type="expression" dxfId="22" priority="1">
      <formula>I6="Yes"</formula>
    </cfRule>
  </conditionalFormatting>
  <dataValidations count="2">
    <dataValidation type="list" allowBlank="1" sqref="F6:F29">
      <formula1>"Yes,No,Not needed"</formula1>
    </dataValidation>
    <dataValidation type="list" allowBlank="1" sqref="I6:I29">
      <formula1>"Yes,No"</formula1>
    </dataValidation>
  </dataValidations>
  <pageMargins left="0.4" right="0.4" top="0.5" bottom="0.5" header="0.2" footer="0.2"/>
  <pageSetup orientation="landscape" horizontalDpi="4294967295" verticalDpi="4294967295" scale="100" fitToWidth="1" fitToHeigh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pageSetUpPr fitToPage="1"/>
  </sheetPr>
  <dimension ref="A1:L45"/>
  <sheetViews>
    <sheetView workbookViewId="0" showGridLines="0" zoomScale="100"/>
  </sheetViews>
  <sheetFormatPr defaultRowHeight="15" outlineLevelRow="0" outlineLevelCol="0" x14ac:dyDescent="55"/>
  <cols>
    <col min="1" max="1" width="3" customWidth="1"/>
    <col min="2" max="2" width="16" customWidth="1"/>
    <col min="3" max="3" width="32" customWidth="1"/>
    <col min="4" max="4" width="22" customWidth="1"/>
    <col min="5" max="5" width="12" customWidth="1"/>
    <col min="6" max="6" width="10" customWidth="1"/>
    <col min="7" max="7" width="13" customWidth="1"/>
    <col min="8" max="8" width="12" customWidth="1"/>
  </cols>
  <sheetData>
    <row r="1" ht="14" customHeight="1" spans="1:12" x14ac:dyDescent="0.25">
      <c r="A1" s="1"/>
      <c r="B1" s="1"/>
      <c r="C1" s="1"/>
      <c r="D1" s="1"/>
      <c r="E1" s="1"/>
      <c r="F1" s="1"/>
      <c r="G1" s="1"/>
      <c r="H1" s="1"/>
      <c r="I1" s="1"/>
      <c r="J1" s="1"/>
      <c r="K1" s="1"/>
      <c r="L1" s="1"/>
    </row>
    <row r="2" ht="38" customHeight="1" spans="1:12" x14ac:dyDescent="0.25">
      <c r="A2" s="1"/>
      <c r="B2" s="34" t="s">
        <v>467</v>
      </c>
      <c r="C2" s="34"/>
      <c r="D2" s="34"/>
      <c r="E2" s="34"/>
      <c r="F2" s="34"/>
      <c r="G2" s="34"/>
      <c r="H2" s="34"/>
      <c r="I2" s="34"/>
      <c r="J2" s="34"/>
      <c r="K2" s="1"/>
      <c r="L2" s="1"/>
    </row>
    <row r="3" ht="18" customHeight="1" spans="1:12" x14ac:dyDescent="0.25">
      <c r="A3" s="1"/>
      <c r="B3" s="35" t="s">
        <v>468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4" customHeight="1" spans="1:12" x14ac:dyDescent="0.25">
      <c r="A5" s="1"/>
      <c r="B5" s="108" t="s">
        <v>469</v>
      </c>
      <c r="C5" s="1"/>
      <c r="D5" s="1"/>
      <c r="E5" s="1"/>
      <c r="F5" s="1"/>
      <c r="G5" s="1"/>
      <c r="H5" s="1"/>
      <c r="I5" s="1"/>
      <c r="J5" s="1"/>
      <c r="K5" s="1"/>
      <c r="L5" s="1"/>
    </row>
    <row r="6" ht="28" customHeight="1" spans="1:12" x14ac:dyDescent="0.25">
      <c r="A6" s="1"/>
      <c r="B6" s="49" t="s">
        <v>470</v>
      </c>
      <c r="C6" s="51" t="s">
        <v>471</v>
      </c>
      <c r="D6" s="1"/>
      <c r="E6" s="1"/>
      <c r="F6" s="1"/>
      <c r="G6" s="1"/>
      <c r="H6" s="1"/>
      <c r="I6" s="1"/>
      <c r="J6" s="1"/>
      <c r="K6" s="1"/>
      <c r="L6" s="1"/>
    </row>
    <row r="7" ht="19" customHeight="1" spans="1:12" x14ac:dyDescent="0.25">
      <c r="A7" s="1"/>
      <c r="B7" s="66" t="s">
        <v>252</v>
      </c>
      <c r="C7" s="109">
        <f>SUMIFS('Guest List'!$Q6:$Q205,'Guest List'!$J6:$J205,B7,'Guest List'!$H6:$H205,"Yes")</f>
      </c>
      <c r="D7" s="1"/>
      <c r="E7" s="1"/>
      <c r="F7" s="1"/>
      <c r="G7" s="1"/>
      <c r="H7" s="1"/>
      <c r="I7" s="1"/>
      <c r="J7" s="1"/>
      <c r="K7" s="1"/>
      <c r="L7" s="1"/>
    </row>
    <row r="8" ht="19" customHeight="1" spans="1:12" x14ac:dyDescent="0.25">
      <c r="A8" s="1"/>
      <c r="B8" s="68" t="s">
        <v>255</v>
      </c>
      <c r="C8" s="110">
        <f>SUMIFS('Guest List'!$Q6:$Q205,'Guest List'!$J6:$J205,B8,'Guest List'!$H6:$H205,"Yes")</f>
      </c>
      <c r="D8" s="1"/>
      <c r="E8" s="1"/>
      <c r="F8" s="1"/>
      <c r="G8" s="1"/>
      <c r="H8" s="1"/>
      <c r="I8" s="1"/>
      <c r="J8" s="1"/>
      <c r="K8" s="1"/>
      <c r="L8" s="1"/>
    </row>
    <row r="9" ht="19" customHeight="1" spans="1:12" x14ac:dyDescent="0.25">
      <c r="A9" s="1"/>
      <c r="B9" s="66" t="s">
        <v>263</v>
      </c>
      <c r="C9" s="109">
        <f>SUMIFS('Guest List'!$Q6:$Q205,'Guest List'!$J6:$J205,B9,'Guest List'!$H6:$H205,"Yes")</f>
      </c>
      <c r="D9" s="1"/>
      <c r="E9" s="1"/>
      <c r="F9" s="1"/>
      <c r="G9" s="1"/>
      <c r="H9" s="1"/>
      <c r="I9" s="1"/>
      <c r="J9" s="1"/>
      <c r="K9" s="1"/>
      <c r="L9" s="1"/>
    </row>
    <row r="10" ht="19" customHeight="1" spans="1:12" x14ac:dyDescent="0.25">
      <c r="A10" s="1"/>
      <c r="B10" s="68" t="s">
        <v>472</v>
      </c>
      <c r="C10" s="110">
        <f>SUMIFS('Guest List'!$Q6:$Q205,'Guest List'!$J6:$J205,B10,'Guest List'!$H6:$H205,"Yes")</f>
      </c>
      <c r="D10" s="1"/>
      <c r="E10" s="1"/>
      <c r="F10" s="1"/>
      <c r="G10" s="1"/>
      <c r="H10" s="1"/>
      <c r="I10" s="1"/>
      <c r="J10" s="1"/>
      <c r="K10" s="1"/>
      <c r="L10" s="1"/>
    </row>
    <row r="11" ht="19" customHeight="1" spans="1:12" x14ac:dyDescent="0.25">
      <c r="A11" s="1"/>
      <c r="B11" s="66" t="s">
        <v>473</v>
      </c>
      <c r="C11" s="109">
        <f>SUMIFS('Guest List'!$Q6:$Q205,'Guest List'!$J6:$J205,B11,'Guest List'!$H6:$H205,"Yes")</f>
      </c>
      <c r="D11" s="1"/>
      <c r="E11" s="1"/>
      <c r="F11" s="1"/>
      <c r="G11" s="1"/>
      <c r="H11" s="1"/>
      <c r="I11" s="1"/>
      <c r="J11" s="1"/>
      <c r="K11" s="1"/>
      <c r="L11" s="1"/>
    </row>
    <row r="12" ht="19" customHeight="1" spans="1:12" x14ac:dyDescent="0.25">
      <c r="A12" s="1"/>
      <c r="B12" s="68" t="s">
        <v>74</v>
      </c>
      <c r="C12" s="110">
        <f>SUMIFS('Guest List'!$Q6:$Q205,'Guest List'!$J6:$J205,B12,'Guest List'!$H6:$H205,"Yes")</f>
      </c>
      <c r="D12" s="1"/>
      <c r="E12" s="1"/>
      <c r="F12" s="1"/>
      <c r="G12" s="1"/>
      <c r="H12" s="1"/>
      <c r="I12" s="1"/>
      <c r="J12" s="1"/>
      <c r="K12" s="1"/>
      <c r="L12" s="1"/>
    </row>
    <row r="13" ht="24" customHeight="1" spans="1:12" x14ac:dyDescent="0.25">
      <c r="A13" s="1"/>
      <c r="B13" s="62" t="s">
        <v>474</v>
      </c>
      <c r="C13" s="111">
        <f>SUM(C7:C12)</f>
      </c>
      <c r="D13" s="1"/>
      <c r="E13" s="1"/>
      <c r="F13" s="1"/>
      <c r="G13" s="1"/>
      <c r="H13" s="1"/>
      <c r="I13" s="1"/>
      <c r="J13" s="1"/>
      <c r="K13" s="1"/>
      <c r="L13" s="1"/>
    </row>
    <row r="14" spans="1:12" x14ac:dyDescent="0.25">
      <c r="A14" s="1"/>
      <c r="B14" s="1"/>
      <c r="C14" s="1"/>
      <c r="D14" s="1"/>
      <c r="E14" s="1"/>
      <c r="F14" s="1"/>
      <c r="G14" s="1"/>
      <c r="H14" s="1"/>
      <c r="I14" s="1"/>
      <c r="J14" s="1"/>
      <c r="K14" s="1"/>
      <c r="L14" s="1"/>
    </row>
    <row r="15" ht="24" customHeight="1" spans="1:12" x14ac:dyDescent="0.25">
      <c r="A15" s="1"/>
      <c r="B15" s="108" t="s">
        <v>475</v>
      </c>
      <c r="C15" s="1"/>
      <c r="D15" s="1"/>
      <c r="E15" s="1"/>
      <c r="F15" s="1"/>
      <c r="G15" s="1"/>
      <c r="H15" s="1"/>
      <c r="I15" s="1"/>
      <c r="J15" s="1"/>
      <c r="K15" s="1"/>
      <c r="L15" s="1"/>
    </row>
    <row r="16" ht="28" customHeight="1" spans="1:12" x14ac:dyDescent="0.25">
      <c r="A16" s="1"/>
      <c r="B16" s="49" t="s">
        <v>476</v>
      </c>
      <c r="C16" s="49" t="s">
        <v>477</v>
      </c>
      <c r="D16" s="49" t="s">
        <v>478</v>
      </c>
      <c r="E16" s="50" t="s">
        <v>479</v>
      </c>
      <c r="F16" s="51" t="s">
        <v>437</v>
      </c>
      <c r="G16" s="50" t="s">
        <v>480</v>
      </c>
      <c r="H16" s="51" t="s">
        <v>481</v>
      </c>
      <c r="I16" s="1"/>
      <c r="J16" s="1"/>
      <c r="K16" s="1"/>
      <c r="L16" s="1"/>
    </row>
    <row r="17" ht="19" customHeight="1" spans="1:12" x14ac:dyDescent="0.25">
      <c r="A17" s="1"/>
      <c r="B17" s="52" t="s">
        <v>482</v>
      </c>
      <c r="C17" s="53" t="s">
        <v>483</v>
      </c>
      <c r="D17" s="53" t="s">
        <v>484</v>
      </c>
      <c r="E17" s="112">
        <v>14</v>
      </c>
      <c r="F17" s="56">
        <f>IF(C17="","",$C13)</f>
      </c>
      <c r="G17" s="59">
        <f>IF(C17="","",ROUND(E17*F17,0))</f>
      </c>
      <c r="H17" s="56" t="s">
        <v>93</v>
      </c>
      <c r="I17" s="1"/>
      <c r="J17" s="1"/>
      <c r="K17" s="1"/>
      <c r="L17" s="1"/>
    </row>
    <row r="18" ht="19" customHeight="1" spans="1:12" x14ac:dyDescent="0.25">
      <c r="A18" s="1"/>
      <c r="B18" s="52" t="s">
        <v>485</v>
      </c>
      <c r="C18" s="53" t="s">
        <v>486</v>
      </c>
      <c r="D18" s="53" t="s">
        <v>487</v>
      </c>
      <c r="E18" s="112">
        <v>11</v>
      </c>
      <c r="F18" s="56">
        <f>IF(C18="","",$C13)</f>
      </c>
      <c r="G18" s="61">
        <f>IF(C18="","",ROUND(E18*F18,0))</f>
      </c>
      <c r="H18" s="56" t="s">
        <v>93</v>
      </c>
      <c r="I18" s="1"/>
      <c r="J18" s="1"/>
      <c r="K18" s="1"/>
      <c r="L18" s="1"/>
    </row>
    <row r="19" ht="19" customHeight="1" spans="1:12" x14ac:dyDescent="0.25">
      <c r="A19" s="1"/>
      <c r="B19" s="52" t="s">
        <v>488</v>
      </c>
      <c r="C19" s="53" t="s">
        <v>489</v>
      </c>
      <c r="D19" s="53" t="s">
        <v>490</v>
      </c>
      <c r="E19" s="112">
        <v>32</v>
      </c>
      <c r="F19" s="56">
        <f>IF(C19="","",$C13)</f>
      </c>
      <c r="G19" s="59">
        <f>IF(C19="","",ROUND(E19*F19,0))</f>
      </c>
      <c r="H19" s="56" t="s">
        <v>93</v>
      </c>
      <c r="I19" s="1"/>
      <c r="J19" s="1"/>
      <c r="K19" s="1"/>
      <c r="L19" s="1"/>
    </row>
    <row r="20" ht="19" customHeight="1" spans="1:12" x14ac:dyDescent="0.25">
      <c r="A20" s="1"/>
      <c r="B20" s="52" t="s">
        <v>491</v>
      </c>
      <c r="C20" s="53" t="s">
        <v>492</v>
      </c>
      <c r="D20" s="53" t="s">
        <v>493</v>
      </c>
      <c r="E20" s="112">
        <v>9</v>
      </c>
      <c r="F20" s="56">
        <f>IF(C20="","",$C13)</f>
      </c>
      <c r="G20" s="61">
        <f>IF(C20="","",ROUND(E20*F20,0))</f>
      </c>
      <c r="H20" s="56" t="s">
        <v>93</v>
      </c>
      <c r="I20" s="1"/>
      <c r="J20" s="1"/>
      <c r="K20" s="1"/>
      <c r="L20" s="1"/>
    </row>
    <row r="21" ht="19" customHeight="1" spans="1:12" x14ac:dyDescent="0.25">
      <c r="A21" s="1"/>
      <c r="B21" s="52" t="s">
        <v>460</v>
      </c>
      <c r="C21" s="53" t="s">
        <v>494</v>
      </c>
      <c r="D21" s="53" t="s">
        <v>495</v>
      </c>
      <c r="E21" s="112">
        <v>12</v>
      </c>
      <c r="F21" s="56">
        <f>IF(C21="","",$C13)</f>
      </c>
      <c r="G21" s="59">
        <f>IF(C21="","",ROUND(E21*F21,0))</f>
      </c>
      <c r="H21" s="56" t="s">
        <v>93</v>
      </c>
      <c r="I21" s="1"/>
      <c r="J21" s="1"/>
      <c r="K21" s="1"/>
      <c r="L21" s="1"/>
    </row>
    <row r="22" ht="19" customHeight="1" spans="1:12" x14ac:dyDescent="0.25">
      <c r="A22" s="1"/>
      <c r="B22" s="52" t="s">
        <v>496</v>
      </c>
      <c r="C22" s="53" t="s">
        <v>497</v>
      </c>
      <c r="D22" s="53" t="s">
        <v>151</v>
      </c>
      <c r="E22" s="112">
        <v>18</v>
      </c>
      <c r="F22" s="56">
        <f>IF(C22="","",$C13)</f>
      </c>
      <c r="G22" s="61">
        <f>IF(C22="","",ROUND(E22*F22,0))</f>
      </c>
      <c r="H22" s="56" t="s">
        <v>93</v>
      </c>
      <c r="I22" s="1"/>
      <c r="J22" s="1"/>
      <c r="K22" s="1"/>
      <c r="L22" s="1"/>
    </row>
    <row r="23" ht="19" customHeight="1" spans="1:12" x14ac:dyDescent="0.25">
      <c r="A23" s="1"/>
      <c r="B23" s="52"/>
      <c r="C23" s="53"/>
      <c r="D23" s="53"/>
      <c r="E23" s="112"/>
      <c r="F23" s="56">
        <f>IF(C23="","",$C13)</f>
      </c>
      <c r="G23" s="59">
        <f>IF(C23="","",ROUND(E23*F23,0))</f>
      </c>
      <c r="H23" s="56"/>
      <c r="I23" s="1"/>
      <c r="J23" s="1"/>
      <c r="K23" s="1"/>
      <c r="L23" s="1"/>
    </row>
    <row r="24" ht="19" customHeight="1" spans="1:12" x14ac:dyDescent="0.25">
      <c r="A24" s="1"/>
      <c r="B24" s="52"/>
      <c r="C24" s="53"/>
      <c r="D24" s="53"/>
      <c r="E24" s="112"/>
      <c r="F24" s="56">
        <f>IF(C24="","",$C13)</f>
      </c>
      <c r="G24" s="61">
        <f>IF(C24="","",ROUND(E24*F24,0))</f>
      </c>
      <c r="H24" s="56"/>
      <c r="I24" s="1"/>
      <c r="J24" s="1"/>
      <c r="K24" s="1"/>
      <c r="L24" s="1"/>
    </row>
    <row r="25" ht="19" customHeight="1" spans="1:12" x14ac:dyDescent="0.25">
      <c r="A25" s="1"/>
      <c r="B25" s="52"/>
      <c r="C25" s="53"/>
      <c r="D25" s="53"/>
      <c r="E25" s="112"/>
      <c r="F25" s="56">
        <f>IF(C25="","",$C13)</f>
      </c>
      <c r="G25" s="59">
        <f>IF(C25="","",ROUND(E25*F25,0))</f>
      </c>
      <c r="H25" s="56"/>
      <c r="I25" s="1"/>
      <c r="J25" s="1"/>
      <c r="K25" s="1"/>
      <c r="L25" s="1"/>
    </row>
    <row r="26" ht="19" customHeight="1" spans="1:12" x14ac:dyDescent="0.25">
      <c r="A26" s="1"/>
      <c r="B26" s="52"/>
      <c r="C26" s="53"/>
      <c r="D26" s="53"/>
      <c r="E26" s="112"/>
      <c r="F26" s="56">
        <f>IF(C26="","",$C13)</f>
      </c>
      <c r="G26" s="61">
        <f>IF(C26="","",ROUND(E26*F26,0))</f>
      </c>
      <c r="H26" s="56"/>
      <c r="I26" s="1"/>
      <c r="J26" s="1"/>
      <c r="K26" s="1"/>
      <c r="L26" s="1"/>
    </row>
    <row r="27" ht="19" customHeight="1" spans="1:12" x14ac:dyDescent="0.25">
      <c r="A27" s="1"/>
      <c r="B27" s="52"/>
      <c r="C27" s="53"/>
      <c r="D27" s="53"/>
      <c r="E27" s="112"/>
      <c r="F27" s="56">
        <f>IF(C27="","",$C13)</f>
      </c>
      <c r="G27" s="59">
        <f>IF(C27="","",ROUND(E27*F27,0))</f>
      </c>
      <c r="H27" s="56"/>
      <c r="I27" s="1"/>
      <c r="J27" s="1"/>
      <c r="K27" s="1"/>
      <c r="L27" s="1"/>
    </row>
    <row r="28" ht="19" customHeight="1" spans="1:12" x14ac:dyDescent="0.25">
      <c r="A28" s="1"/>
      <c r="B28" s="52"/>
      <c r="C28" s="53"/>
      <c r="D28" s="53"/>
      <c r="E28" s="112"/>
      <c r="F28" s="56">
        <f>IF(C28="","",$C13)</f>
      </c>
      <c r="G28" s="61">
        <f>IF(C28="","",ROUND(E28*F28,0))</f>
      </c>
      <c r="H28" s="56"/>
      <c r="I28" s="1"/>
      <c r="J28" s="1"/>
      <c r="K28" s="1"/>
      <c r="L28" s="1"/>
    </row>
    <row r="29" ht="19" customHeight="1" spans="1:12" x14ac:dyDescent="0.25">
      <c r="A29" s="1"/>
      <c r="B29" s="52"/>
      <c r="C29" s="53"/>
      <c r="D29" s="53"/>
      <c r="E29" s="112"/>
      <c r="F29" s="56">
        <f>IF(C29="","",$C13)</f>
      </c>
      <c r="G29" s="59">
        <f>IF(C29="","",ROUND(E29*F29,0))</f>
      </c>
      <c r="H29" s="56"/>
      <c r="I29" s="1"/>
      <c r="J29" s="1"/>
      <c r="K29" s="1"/>
      <c r="L29" s="1"/>
    </row>
    <row r="30" ht="19" customHeight="1" spans="1:12" x14ac:dyDescent="0.25">
      <c r="A30" s="1"/>
      <c r="B30" s="52"/>
      <c r="C30" s="53"/>
      <c r="D30" s="53"/>
      <c r="E30" s="112"/>
      <c r="F30" s="56">
        <f>IF(C30="","",$C13)</f>
      </c>
      <c r="G30" s="61">
        <f>IF(C30="","",ROUND(E30*F30,0))</f>
      </c>
      <c r="H30" s="56"/>
      <c r="I30" s="1"/>
      <c r="J30" s="1"/>
      <c r="K30" s="1"/>
      <c r="L30" s="1"/>
    </row>
    <row r="31" ht="19" customHeight="1" spans="1:12" x14ac:dyDescent="0.25">
      <c r="A31" s="1"/>
      <c r="B31" s="52"/>
      <c r="C31" s="53"/>
      <c r="D31" s="53"/>
      <c r="E31" s="112"/>
      <c r="F31" s="56">
        <f>IF(C31="","",$C13)</f>
      </c>
      <c r="G31" s="59">
        <f>IF(C31="","",ROUND(E31*F31,0))</f>
      </c>
      <c r="H31" s="56"/>
      <c r="I31" s="1"/>
      <c r="J31" s="1"/>
      <c r="K31" s="1"/>
      <c r="L31" s="1"/>
    </row>
    <row r="32" ht="19" customHeight="1" spans="1:12" x14ac:dyDescent="0.25">
      <c r="A32" s="1"/>
      <c r="B32" s="52"/>
      <c r="C32" s="53"/>
      <c r="D32" s="53"/>
      <c r="E32" s="112"/>
      <c r="F32" s="56">
        <f>IF(C32="","",$C13)</f>
      </c>
      <c r="G32" s="61">
        <f>IF(C32="","",ROUND(E32*F32,0))</f>
      </c>
      <c r="H32" s="56"/>
      <c r="I32" s="1"/>
      <c r="J32" s="1"/>
      <c r="K32" s="1"/>
      <c r="L32" s="1"/>
    </row>
    <row r="33" ht="24" customHeight="1" spans="1:12" x14ac:dyDescent="0.25">
      <c r="A33" s="1"/>
      <c r="B33" s="62" t="s">
        <v>498</v>
      </c>
      <c r="C33" s="63"/>
      <c r="D33" s="63"/>
      <c r="E33" s="63"/>
      <c r="F33" s="63"/>
      <c r="G33" s="64">
        <f>SUM(G17:G32)</f>
      </c>
      <c r="H33" s="63"/>
      <c r="I33" s="1"/>
      <c r="J33" s="1"/>
      <c r="K33" s="1"/>
      <c r="L33" s="1"/>
    </row>
    <row r="34" spans="1:12" x14ac:dyDescent="0.25">
      <c r="A34" s="1"/>
      <c r="B34" s="1"/>
      <c r="C34" s="1"/>
      <c r="D34" s="1"/>
      <c r="E34" s="1"/>
      <c r="F34" s="1"/>
      <c r="G34" s="1"/>
      <c r="H34" s="1"/>
      <c r="I34" s="1"/>
      <c r="J34" s="1"/>
      <c r="K34" s="1"/>
      <c r="L34" s="1"/>
    </row>
    <row r="35" ht="18" customHeight="1" spans="1:12" x14ac:dyDescent="0.25">
      <c r="A35" s="1"/>
      <c r="B35" s="48" t="s">
        <v>499</v>
      </c>
      <c r="C35" s="48"/>
      <c r="D35" s="48"/>
      <c r="E35" s="48"/>
      <c r="F35" s="48"/>
      <c r="G35" s="48"/>
      <c r="H35" s="48"/>
      <c r="I35" s="48"/>
      <c r="J35" s="48"/>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mergeCells count="3">
    <mergeCell ref="B2:J2"/>
    <mergeCell ref="B3:J3"/>
    <mergeCell ref="B35:J35"/>
  </mergeCells>
  <conditionalFormatting sqref="H17:H32">
    <cfRule type="expression" dxfId="111" priority="1">
      <formula>H17="Yes"</formula>
    </cfRule>
  </conditionalFormatting>
  <dataValidations count="1">
    <dataValidation type="list" allowBlank="1" sqref="H17:H32">
      <formula1>"Yes,No"</formula1>
    </dataValidation>
  </dataValidations>
  <pageMargins left="0.4" right="0.4" top="0.5" bottom="0.5" header="0.2" footer="0.2"/>
  <pageSetup orientation="portrait" horizontalDpi="4294967295" verticalDpi="4294967295" scale="100" fitToWidth="1" fitToHeigh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L40"/>
  <sheetViews>
    <sheetView workbookViewId="0" showGridLines="0" zoomScale="100"/>
  </sheetViews>
  <sheetFormatPr defaultRowHeight="15" outlineLevelRow="0" outlineLevelCol="0" x14ac:dyDescent="55"/>
  <cols>
    <col min="1" max="1" width="3" customWidth="1"/>
    <col min="2" max="2" width="26" customWidth="1"/>
    <col min="3" max="3" width="16" customWidth="1"/>
    <col min="4" max="4" width="22" customWidth="1"/>
    <col min="5" max="5" width="10" customWidth="1"/>
    <col min="6" max="7" width="11" customWidth="1"/>
    <col min="8" max="10" width="13" customWidth="1"/>
    <col min="11" max="11" width="24" customWidth="1"/>
  </cols>
  <sheetData>
    <row r="1" ht="14" customHeight="1" spans="1:12" x14ac:dyDescent="0.25">
      <c r="A1" s="1"/>
      <c r="B1" s="1"/>
      <c r="C1" s="1"/>
      <c r="D1" s="1"/>
      <c r="E1" s="1"/>
      <c r="F1" s="1"/>
      <c r="G1" s="1"/>
      <c r="H1" s="1"/>
      <c r="I1" s="1"/>
      <c r="J1" s="1"/>
      <c r="K1" s="1"/>
      <c r="L1" s="1"/>
    </row>
    <row r="2" ht="38" customHeight="1" spans="1:12" x14ac:dyDescent="0.25">
      <c r="A2" s="1"/>
      <c r="B2" s="34" t="s">
        <v>519</v>
      </c>
      <c r="C2" s="34"/>
      <c r="D2" s="34"/>
      <c r="E2" s="34"/>
      <c r="F2" s="34"/>
      <c r="G2" s="34"/>
      <c r="H2" s="34"/>
      <c r="I2" s="34"/>
      <c r="J2" s="34"/>
      <c r="K2" s="1"/>
      <c r="L2" s="1"/>
    </row>
    <row r="3" ht="18" customHeight="1" spans="1:12" x14ac:dyDescent="0.25">
      <c r="A3" s="1"/>
      <c r="B3" s="35" t="s">
        <v>520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521</v>
      </c>
      <c r="C5" s="49" t="s">
        <v>522</v>
      </c>
      <c r="D5" s="49" t="s">
        <v>523</v>
      </c>
      <c r="E5" s="51" t="s">
        <v>524</v>
      </c>
      <c r="F5" s="51" t="s">
        <v>525</v>
      </c>
      <c r="G5" s="51" t="s">
        <v>526</v>
      </c>
      <c r="H5" s="51" t="s">
        <v>527</v>
      </c>
      <c r="I5" s="51" t="s">
        <v>528</v>
      </c>
      <c r="J5" s="50" t="s">
        <v>480</v>
      </c>
      <c r="K5" s="49" t="s">
        <v>91</v>
      </c>
      <c r="L5" s="1"/>
    </row>
    <row r="6" ht="19" customHeight="1" spans="1:12" x14ac:dyDescent="0.25">
      <c r="A6" s="1"/>
      <c r="B6" s="52" t="s">
        <v>529</v>
      </c>
      <c r="C6" s="53" t="s">
        <v>47</v>
      </c>
      <c r="D6" s="53" t="s">
        <v>109</v>
      </c>
      <c r="E6" s="56" t="s">
        <v>308</v>
      </c>
      <c r="F6" s="56" t="s">
        <v>96</v>
      </c>
      <c r="G6" s="56" t="s">
        <v>93</v>
      </c>
      <c r="H6" s="58">
        <v>46261</v>
      </c>
      <c r="I6" s="58">
        <v>46281</v>
      </c>
      <c r="J6" s="54">
        <v>1650</v>
      </c>
      <c r="K6" s="53"/>
      <c r="L6" s="1"/>
    </row>
    <row r="7" ht="19" customHeight="1" spans="1:12" x14ac:dyDescent="0.25">
      <c r="A7" s="1"/>
      <c r="B7" s="52" t="s">
        <v>530</v>
      </c>
      <c r="C7" s="53" t="s">
        <v>47</v>
      </c>
      <c r="D7" s="53" t="s">
        <v>109</v>
      </c>
      <c r="E7" s="56" t="s">
        <v>531</v>
      </c>
      <c r="F7" s="56" t="s">
        <v>96</v>
      </c>
      <c r="G7" s="56" t="s">
        <v>96</v>
      </c>
      <c r="H7" s="58"/>
      <c r="I7" s="58"/>
      <c r="J7" s="54">
        <v>220</v>
      </c>
      <c r="K7" s="53"/>
      <c r="L7" s="1"/>
    </row>
    <row r="8" ht="19" customHeight="1" spans="1:12" x14ac:dyDescent="0.25">
      <c r="A8" s="1"/>
      <c r="B8" s="52" t="s">
        <v>532</v>
      </c>
      <c r="C8" s="53" t="s">
        <v>47</v>
      </c>
      <c r="D8" s="53" t="s">
        <v>533</v>
      </c>
      <c r="E8" s="56" t="s">
        <v>534</v>
      </c>
      <c r="F8" s="56" t="s">
        <v>96</v>
      </c>
      <c r="G8" s="56" t="s">
        <v>96</v>
      </c>
      <c r="H8" s="58"/>
      <c r="I8" s="58"/>
      <c r="J8" s="54">
        <v>180</v>
      </c>
      <c r="K8" s="53"/>
      <c r="L8" s="1"/>
    </row>
    <row r="9" ht="19" customHeight="1" spans="1:12" x14ac:dyDescent="0.25">
      <c r="A9" s="1"/>
      <c r="B9" s="52" t="s">
        <v>535</v>
      </c>
      <c r="C9" s="53" t="s">
        <v>50</v>
      </c>
      <c r="D9" s="53" t="s">
        <v>536</v>
      </c>
      <c r="E9" s="56" t="s">
        <v>310</v>
      </c>
      <c r="F9" s="56" t="s">
        <v>96</v>
      </c>
      <c r="G9" s="56" t="s">
        <v>93</v>
      </c>
      <c r="H9" s="58">
        <v>46266</v>
      </c>
      <c r="I9" s="58">
        <v>46283</v>
      </c>
      <c r="J9" s="54">
        <v>620</v>
      </c>
      <c r="K9" s="53"/>
      <c r="L9" s="1"/>
    </row>
    <row r="10" ht="19" customHeight="1" spans="1:12" x14ac:dyDescent="0.25">
      <c r="A10" s="1"/>
      <c r="B10" s="52" t="s">
        <v>532</v>
      </c>
      <c r="C10" s="53" t="s">
        <v>50</v>
      </c>
      <c r="D10" s="53" t="s">
        <v>536</v>
      </c>
      <c r="E10" s="56" t="s">
        <v>537</v>
      </c>
      <c r="F10" s="56" t="s">
        <v>93</v>
      </c>
      <c r="G10" s="56" t="s">
        <v>93</v>
      </c>
      <c r="H10" s="58"/>
      <c r="I10" s="58"/>
      <c r="J10" s="54">
        <v>150</v>
      </c>
      <c r="K10" s="53"/>
      <c r="L10" s="1"/>
    </row>
    <row r="11" ht="19" customHeight="1" spans="1:12" x14ac:dyDescent="0.25">
      <c r="A11" s="1"/>
      <c r="B11" s="52" t="s">
        <v>538</v>
      </c>
      <c r="C11" s="53" t="s">
        <v>539</v>
      </c>
      <c r="D11" s="53" t="s">
        <v>109</v>
      </c>
      <c r="E11" s="56" t="s">
        <v>540</v>
      </c>
      <c r="F11" s="56" t="s">
        <v>96</v>
      </c>
      <c r="G11" s="56" t="s">
        <v>93</v>
      </c>
      <c r="H11" s="58">
        <v>46271</v>
      </c>
      <c r="I11" s="58"/>
      <c r="J11" s="54">
        <v>540</v>
      </c>
      <c r="K11" s="53"/>
      <c r="L11" s="1"/>
    </row>
    <row r="12" ht="19" customHeight="1" spans="1:12" x14ac:dyDescent="0.25">
      <c r="A12" s="1"/>
      <c r="B12" s="52" t="s">
        <v>541</v>
      </c>
      <c r="C12" s="53" t="s">
        <v>542</v>
      </c>
      <c r="D12" s="53" t="s">
        <v>536</v>
      </c>
      <c r="E12" s="56" t="s">
        <v>540</v>
      </c>
      <c r="F12" s="56" t="s">
        <v>93</v>
      </c>
      <c r="G12" s="56" t="s">
        <v>93</v>
      </c>
      <c r="H12" s="58"/>
      <c r="I12" s="58"/>
      <c r="J12" s="54">
        <v>400</v>
      </c>
      <c r="K12" s="53"/>
      <c r="L12" s="1"/>
    </row>
    <row r="13" ht="19" customHeight="1" spans="1:12" x14ac:dyDescent="0.25">
      <c r="A13" s="1"/>
      <c r="B13" s="52"/>
      <c r="C13" s="53"/>
      <c r="D13" s="53"/>
      <c r="E13" s="56"/>
      <c r="F13" s="56"/>
      <c r="G13" s="56"/>
      <c r="H13" s="58"/>
      <c r="I13" s="58"/>
      <c r="J13" s="54"/>
      <c r="K13" s="53"/>
      <c r="L13" s="1"/>
    </row>
    <row r="14" ht="19" customHeight="1" spans="1:12" x14ac:dyDescent="0.25">
      <c r="A14" s="1"/>
      <c r="B14" s="52"/>
      <c r="C14" s="53"/>
      <c r="D14" s="53"/>
      <c r="E14" s="56"/>
      <c r="F14" s="56"/>
      <c r="G14" s="56"/>
      <c r="H14" s="58"/>
      <c r="I14" s="58"/>
      <c r="J14" s="54"/>
      <c r="K14" s="53"/>
      <c r="L14" s="1"/>
    </row>
    <row r="15" ht="19" customHeight="1" spans="1:12" x14ac:dyDescent="0.25">
      <c r="A15" s="1"/>
      <c r="B15" s="52"/>
      <c r="C15" s="53"/>
      <c r="D15" s="53"/>
      <c r="E15" s="56"/>
      <c r="F15" s="56"/>
      <c r="G15" s="56"/>
      <c r="H15" s="58"/>
      <c r="I15" s="58"/>
      <c r="J15" s="54"/>
      <c r="K15" s="53"/>
      <c r="L15" s="1"/>
    </row>
    <row r="16" ht="19" customHeight="1" spans="1:12" x14ac:dyDescent="0.25">
      <c r="A16" s="1"/>
      <c r="B16" s="52"/>
      <c r="C16" s="53"/>
      <c r="D16" s="53"/>
      <c r="E16" s="56"/>
      <c r="F16" s="56"/>
      <c r="G16" s="56"/>
      <c r="H16" s="58"/>
      <c r="I16" s="58"/>
      <c r="J16" s="54"/>
      <c r="K16" s="53"/>
      <c r="L16" s="1"/>
    </row>
    <row r="17" ht="19" customHeight="1" spans="1:12" x14ac:dyDescent="0.25">
      <c r="A17" s="1"/>
      <c r="B17" s="52"/>
      <c r="C17" s="53"/>
      <c r="D17" s="53"/>
      <c r="E17" s="56"/>
      <c r="F17" s="56"/>
      <c r="G17" s="56"/>
      <c r="H17" s="58"/>
      <c r="I17" s="58"/>
      <c r="J17" s="54"/>
      <c r="K17" s="53"/>
      <c r="L17" s="1"/>
    </row>
    <row r="18" ht="19" customHeight="1" spans="1:12" x14ac:dyDescent="0.25">
      <c r="A18" s="1"/>
      <c r="B18" s="52"/>
      <c r="C18" s="53"/>
      <c r="D18" s="53"/>
      <c r="E18" s="56"/>
      <c r="F18" s="56"/>
      <c r="G18" s="56"/>
      <c r="H18" s="58"/>
      <c r="I18" s="58"/>
      <c r="J18" s="54"/>
      <c r="K18" s="53"/>
      <c r="L18" s="1"/>
    </row>
    <row r="19" ht="19" customHeight="1" spans="1:12" x14ac:dyDescent="0.25">
      <c r="A19" s="1"/>
      <c r="B19" s="52"/>
      <c r="C19" s="53"/>
      <c r="D19" s="53"/>
      <c r="E19" s="56"/>
      <c r="F19" s="56"/>
      <c r="G19" s="56"/>
      <c r="H19" s="58"/>
      <c r="I19" s="58"/>
      <c r="J19" s="54"/>
      <c r="K19" s="53"/>
      <c r="L19" s="1"/>
    </row>
    <row r="20" ht="19" customHeight="1" spans="1:12" x14ac:dyDescent="0.25">
      <c r="A20" s="1"/>
      <c r="B20" s="52"/>
      <c r="C20" s="53"/>
      <c r="D20" s="53"/>
      <c r="E20" s="56"/>
      <c r="F20" s="56"/>
      <c r="G20" s="56"/>
      <c r="H20" s="58"/>
      <c r="I20" s="58"/>
      <c r="J20" s="54"/>
      <c r="K20" s="53"/>
      <c r="L20" s="1"/>
    </row>
    <row r="21" ht="19" customHeight="1" spans="1:12" x14ac:dyDescent="0.25">
      <c r="A21" s="1"/>
      <c r="B21" s="52"/>
      <c r="C21" s="53"/>
      <c r="D21" s="53"/>
      <c r="E21" s="56"/>
      <c r="F21" s="56"/>
      <c r="G21" s="56"/>
      <c r="H21" s="58"/>
      <c r="I21" s="58"/>
      <c r="J21" s="54"/>
      <c r="K21" s="53"/>
      <c r="L21" s="1"/>
    </row>
    <row r="22" ht="19" customHeight="1" spans="1:12" x14ac:dyDescent="0.25">
      <c r="A22" s="1"/>
      <c r="B22" s="52"/>
      <c r="C22" s="53"/>
      <c r="D22" s="53"/>
      <c r="E22" s="56"/>
      <c r="F22" s="56"/>
      <c r="G22" s="56"/>
      <c r="H22" s="58"/>
      <c r="I22" s="58"/>
      <c r="J22" s="54"/>
      <c r="K22" s="53"/>
      <c r="L22" s="1"/>
    </row>
    <row r="23" ht="19" customHeight="1" spans="1:12" x14ac:dyDescent="0.25">
      <c r="A23" s="1"/>
      <c r="B23" s="52"/>
      <c r="C23" s="53"/>
      <c r="D23" s="53"/>
      <c r="E23" s="56"/>
      <c r="F23" s="56"/>
      <c r="G23" s="56"/>
      <c r="H23" s="58"/>
      <c r="I23" s="58"/>
      <c r="J23" s="54"/>
      <c r="K23" s="53"/>
      <c r="L23" s="1"/>
    </row>
    <row r="24" ht="19" customHeight="1" spans="1:12" x14ac:dyDescent="0.25">
      <c r="A24" s="1"/>
      <c r="B24" s="52"/>
      <c r="C24" s="53"/>
      <c r="D24" s="53"/>
      <c r="E24" s="56"/>
      <c r="F24" s="56"/>
      <c r="G24" s="56"/>
      <c r="H24" s="58"/>
      <c r="I24" s="58"/>
      <c r="J24" s="54"/>
      <c r="K24" s="53"/>
      <c r="L24" s="1"/>
    </row>
    <row r="25" ht="19" customHeight="1" spans="1:12" x14ac:dyDescent="0.25">
      <c r="A25" s="1"/>
      <c r="B25" s="52"/>
      <c r="C25" s="53"/>
      <c r="D25" s="53"/>
      <c r="E25" s="56"/>
      <c r="F25" s="56"/>
      <c r="G25" s="56"/>
      <c r="H25" s="58"/>
      <c r="I25" s="58"/>
      <c r="J25" s="54"/>
      <c r="K25" s="53"/>
      <c r="L25" s="1"/>
    </row>
    <row r="26" ht="24" customHeight="1" spans="1:12" x14ac:dyDescent="0.25">
      <c r="A26" s="1"/>
      <c r="B26" s="62" t="s">
        <v>543</v>
      </c>
      <c r="C26" s="63"/>
      <c r="D26" s="63"/>
      <c r="E26" s="63"/>
      <c r="F26" s="63"/>
      <c r="G26" s="63"/>
      <c r="H26" s="63"/>
      <c r="I26" s="63"/>
      <c r="J26" s="64">
        <f>SUM(K6:K25)</f>
      </c>
      <c r="K26" s="63"/>
      <c r="L26" s="1"/>
    </row>
    <row r="27" spans="1:12" x14ac:dyDescent="0.25">
      <c r="A27" s="1"/>
      <c r="B27" s="1"/>
      <c r="C27" s="1"/>
      <c r="D27" s="1"/>
      <c r="E27" s="1"/>
      <c r="F27" s="1"/>
      <c r="G27" s="1"/>
      <c r="H27" s="1"/>
      <c r="I27" s="1"/>
      <c r="J27" s="1"/>
      <c r="K27" s="1"/>
      <c r="L27" s="1"/>
    </row>
    <row r="28" ht="18" customHeight="1" spans="1:12" x14ac:dyDescent="0.25">
      <c r="A28" s="1"/>
      <c r="B28" s="48" t="s">
        <v>544</v>
      </c>
      <c r="C28" s="48"/>
      <c r="D28" s="48"/>
      <c r="E28" s="48"/>
      <c r="F28" s="48"/>
      <c r="G28" s="48"/>
      <c r="H28" s="48"/>
      <c r="I28" s="48"/>
      <c r="J28" s="48"/>
      <c r="K28" s="48"/>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8:K28"/>
  </mergeCells>
  <conditionalFormatting sqref="F6:F25">
    <cfRule type="expression" dxfId="113" priority="1">
      <formula>F6="Yes"</formula>
    </cfRule>
  </conditionalFormatting>
  <conditionalFormatting sqref="G6:G25">
    <cfRule type="expression" dxfId="114" priority="1">
      <formula>G6="Yes"</formula>
    </cfRule>
  </conditionalFormatting>
  <conditionalFormatting sqref="H6:I25">
    <cfRule type="expression" dxfId="115" priority="1">
      <formula>AND(H6&lt;&gt;"",H6-TODAY()&lt;=14,H6&gt;=TODAY())</formula>
    </cfRule>
  </conditionalFormatting>
  <dataValidations count="2">
    <dataValidation type="list" allowBlank="1" sqref="F6:F25">
      <formula1>"Yes,No"</formula1>
    </dataValidation>
    <dataValidation type="list" allowBlank="1" sqref="G6:G25">
      <formula1>"Yes,No"</formula1>
    </dataValidation>
  </dataValidations>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L45"/>
  <sheetViews>
    <sheetView workbookViewId="0" showGridLines="0" zoomScale="100"/>
  </sheetViews>
  <sheetFormatPr defaultRowHeight="15" outlineLevelRow="0" outlineLevelCol="0" x14ac:dyDescent="55"/>
  <cols>
    <col min="1" max="1" width="3" customWidth="1"/>
    <col min="2" max="2" width="20" customWidth="1"/>
    <col min="3" max="3" width="28" customWidth="1"/>
    <col min="4" max="4" width="10" customWidth="1"/>
    <col min="5" max="5" width="15" customWidth="1"/>
    <col min="6" max="7" width="12" customWidth="1"/>
    <col min="8" max="8" width="20" customWidth="1"/>
    <col min="9" max="9" width="10" customWidth="1"/>
    <col min="10" max="10" width="22" customWidth="1"/>
  </cols>
  <sheetData>
    <row r="1" ht="14" customHeight="1" spans="1:12" x14ac:dyDescent="0.25">
      <c r="A1" s="1"/>
      <c r="B1" s="1"/>
      <c r="C1" s="1"/>
      <c r="D1" s="1"/>
      <c r="E1" s="1"/>
      <c r="F1" s="1"/>
      <c r="G1" s="1"/>
      <c r="H1" s="1"/>
      <c r="I1" s="1"/>
      <c r="J1" s="1"/>
      <c r="K1" s="1"/>
      <c r="L1" s="1"/>
    </row>
    <row r="2" ht="38" customHeight="1" spans="1:12" x14ac:dyDescent="0.25">
      <c r="A2" s="1"/>
      <c r="B2" s="34" t="s">
        <v>569</v>
      </c>
      <c r="C2" s="34"/>
      <c r="D2" s="34"/>
      <c r="E2" s="34"/>
      <c r="F2" s="34"/>
      <c r="G2" s="34"/>
      <c r="H2" s="34"/>
      <c r="I2" s="34"/>
      <c r="J2" s="34"/>
      <c r="K2" s="1"/>
      <c r="L2" s="1"/>
    </row>
    <row r="3" ht="18" customHeight="1" spans="1:12" x14ac:dyDescent="0.25">
      <c r="A3" s="1"/>
      <c r="B3" s="35" t="s">
        <v>570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571</v>
      </c>
      <c r="C5" s="49" t="s">
        <v>521</v>
      </c>
      <c r="D5" s="50" t="s">
        <v>572</v>
      </c>
      <c r="E5" s="51" t="s">
        <v>573</v>
      </c>
      <c r="F5" s="50" t="s">
        <v>574</v>
      </c>
      <c r="G5" s="50" t="s">
        <v>113</v>
      </c>
      <c r="H5" s="49" t="s">
        <v>575</v>
      </c>
      <c r="I5" s="51" t="s">
        <v>576</v>
      </c>
      <c r="J5" s="49" t="s">
        <v>91</v>
      </c>
      <c r="K5" s="1"/>
      <c r="L5" s="1"/>
    </row>
    <row r="6" ht="19" customHeight="1" spans="1:12" x14ac:dyDescent="0.25">
      <c r="A6" s="1"/>
      <c r="B6" s="52" t="s">
        <v>577</v>
      </c>
      <c r="C6" s="53" t="s">
        <v>578</v>
      </c>
      <c r="D6" s="115">
        <v>6</v>
      </c>
      <c r="E6" s="56" t="s">
        <v>579</v>
      </c>
      <c r="F6" s="54">
        <v>45</v>
      </c>
      <c r="G6" s="59">
        <f>IF(C6="","",D6*F6)</f>
      </c>
      <c r="H6" s="53"/>
      <c r="I6" s="56" t="s">
        <v>93</v>
      </c>
      <c r="J6" s="53"/>
      <c r="K6" s="1"/>
      <c r="L6" s="1"/>
    </row>
    <row r="7" ht="19" customHeight="1" spans="1:12" x14ac:dyDescent="0.25">
      <c r="A7" s="1"/>
      <c r="B7" s="52" t="s">
        <v>577</v>
      </c>
      <c r="C7" s="53" t="s">
        <v>580</v>
      </c>
      <c r="D7" s="115">
        <v>1</v>
      </c>
      <c r="E7" s="56" t="s">
        <v>581</v>
      </c>
      <c r="F7" s="54">
        <v>380</v>
      </c>
      <c r="G7" s="61">
        <f>IF(C7="","",D7*F7)</f>
      </c>
      <c r="H7" s="53"/>
      <c r="I7" s="56" t="s">
        <v>93</v>
      </c>
      <c r="J7" s="53"/>
      <c r="K7" s="1"/>
      <c r="L7" s="1"/>
    </row>
    <row r="8" ht="19" customHeight="1" spans="1:12" x14ac:dyDescent="0.25">
      <c r="A8" s="1"/>
      <c r="B8" s="52" t="s">
        <v>582</v>
      </c>
      <c r="C8" s="53" t="s">
        <v>583</v>
      </c>
      <c r="D8" s="115">
        <v>12</v>
      </c>
      <c r="E8" s="56" t="s">
        <v>579</v>
      </c>
      <c r="F8" s="54">
        <v>55</v>
      </c>
      <c r="G8" s="59">
        <f>IF(C8="","",D8*F8)</f>
      </c>
      <c r="H8" s="53"/>
      <c r="I8" s="56" t="s">
        <v>93</v>
      </c>
      <c r="J8" s="53"/>
      <c r="K8" s="1"/>
      <c r="L8" s="1"/>
    </row>
    <row r="9" ht="19" customHeight="1" spans="1:12" x14ac:dyDescent="0.25">
      <c r="A9" s="1"/>
      <c r="B9" s="52" t="s">
        <v>582</v>
      </c>
      <c r="C9" s="53" t="s">
        <v>584</v>
      </c>
      <c r="D9" s="115">
        <v>48</v>
      </c>
      <c r="E9" s="56" t="s">
        <v>579</v>
      </c>
      <c r="F9" s="54">
        <v>3</v>
      </c>
      <c r="G9" s="61">
        <f>IF(C9="","",D9*F9)</f>
      </c>
      <c r="H9" s="53"/>
      <c r="I9" s="56" t="s">
        <v>93</v>
      </c>
      <c r="J9" s="53"/>
      <c r="K9" s="1"/>
      <c r="L9" s="1"/>
    </row>
    <row r="10" ht="19" customHeight="1" spans="1:12" x14ac:dyDescent="0.25">
      <c r="A10" s="1"/>
      <c r="B10" s="52" t="s">
        <v>582</v>
      </c>
      <c r="C10" s="53" t="s">
        <v>585</v>
      </c>
      <c r="D10" s="115">
        <v>1</v>
      </c>
      <c r="E10" s="56" t="s">
        <v>579</v>
      </c>
      <c r="F10" s="54">
        <v>160</v>
      </c>
      <c r="G10" s="59">
        <f>IF(C10="","",D10*F10)</f>
      </c>
      <c r="H10" s="53"/>
      <c r="I10" s="56" t="s">
        <v>93</v>
      </c>
      <c r="J10" s="53"/>
      <c r="K10" s="1"/>
      <c r="L10" s="1"/>
    </row>
    <row r="11" ht="19" customHeight="1" spans="1:12" x14ac:dyDescent="0.25">
      <c r="A11" s="1"/>
      <c r="B11" s="52" t="s">
        <v>582</v>
      </c>
      <c r="C11" s="53" t="s">
        <v>586</v>
      </c>
      <c r="D11" s="115">
        <v>13</v>
      </c>
      <c r="E11" s="56" t="s">
        <v>581</v>
      </c>
      <c r="F11" s="54">
        <v>12</v>
      </c>
      <c r="G11" s="61">
        <f>IF(C11="","",D11*F11)</f>
      </c>
      <c r="H11" s="53"/>
      <c r="I11" s="56" t="s">
        <v>93</v>
      </c>
      <c r="J11" s="53"/>
      <c r="K11" s="1"/>
      <c r="L11" s="1"/>
    </row>
    <row r="12" ht="19" customHeight="1" spans="1:12" x14ac:dyDescent="0.25">
      <c r="A12" s="1"/>
      <c r="B12" s="52" t="s">
        <v>587</v>
      </c>
      <c r="C12" s="53" t="s">
        <v>588</v>
      </c>
      <c r="D12" s="115">
        <v>1</v>
      </c>
      <c r="E12" s="56" t="s">
        <v>579</v>
      </c>
      <c r="F12" s="54">
        <v>180</v>
      </c>
      <c r="G12" s="59">
        <f>IF(C12="","",D12*F12)</f>
      </c>
      <c r="H12" s="53"/>
      <c r="I12" s="56" t="s">
        <v>93</v>
      </c>
      <c r="J12" s="53"/>
      <c r="K12" s="1"/>
      <c r="L12" s="1"/>
    </row>
    <row r="13" ht="19" customHeight="1" spans="1:12" x14ac:dyDescent="0.25">
      <c r="A13" s="1"/>
      <c r="B13" s="52" t="s">
        <v>587</v>
      </c>
      <c r="C13" s="53" t="s">
        <v>589</v>
      </c>
      <c r="D13" s="115">
        <v>3</v>
      </c>
      <c r="E13" s="56" t="s">
        <v>579</v>
      </c>
      <c r="F13" s="54">
        <v>65</v>
      </c>
      <c r="G13" s="61">
        <f>IF(C13="","",D13*F13)</f>
      </c>
      <c r="H13" s="53"/>
      <c r="I13" s="56" t="s">
        <v>93</v>
      </c>
      <c r="J13" s="53"/>
      <c r="K13" s="1"/>
      <c r="L13" s="1"/>
    </row>
    <row r="14" ht="19" customHeight="1" spans="1:12" x14ac:dyDescent="0.25">
      <c r="A14" s="1"/>
      <c r="B14" s="52" t="s">
        <v>590</v>
      </c>
      <c r="C14" s="53" t="s">
        <v>591</v>
      </c>
      <c r="D14" s="115">
        <v>5</v>
      </c>
      <c r="E14" s="56" t="s">
        <v>579</v>
      </c>
      <c r="F14" s="54">
        <v>12</v>
      </c>
      <c r="G14" s="59">
        <f>IF(C14="","",D14*F14)</f>
      </c>
      <c r="H14" s="53"/>
      <c r="I14" s="56" t="s">
        <v>93</v>
      </c>
      <c r="J14" s="53"/>
      <c r="K14" s="1"/>
      <c r="L14" s="1"/>
    </row>
    <row r="15" ht="19" customHeight="1" spans="1:12" x14ac:dyDescent="0.25">
      <c r="A15" s="1"/>
      <c r="B15" s="52" t="s">
        <v>592</v>
      </c>
      <c r="C15" s="53" t="s">
        <v>593</v>
      </c>
      <c r="D15" s="115">
        <v>1</v>
      </c>
      <c r="E15" s="56" t="s">
        <v>594</v>
      </c>
      <c r="F15" s="54">
        <v>35</v>
      </c>
      <c r="G15" s="61">
        <f>IF(C15="","",D15*F15)</f>
      </c>
      <c r="H15" s="53"/>
      <c r="I15" s="56" t="s">
        <v>93</v>
      </c>
      <c r="J15" s="53"/>
      <c r="K15" s="1"/>
      <c r="L15" s="1"/>
    </row>
    <row r="16" ht="19" customHeight="1" spans="1:12" x14ac:dyDescent="0.25">
      <c r="A16" s="1"/>
      <c r="B16" s="52"/>
      <c r="C16" s="53"/>
      <c r="D16" s="115"/>
      <c r="E16" s="56"/>
      <c r="F16" s="54"/>
      <c r="G16" s="59">
        <f>IF(C16="","",D16*F16)</f>
      </c>
      <c r="H16" s="53"/>
      <c r="I16" s="56"/>
      <c r="J16" s="53"/>
      <c r="K16" s="1"/>
      <c r="L16" s="1"/>
    </row>
    <row r="17" ht="19" customHeight="1" spans="1:12" x14ac:dyDescent="0.25">
      <c r="A17" s="1"/>
      <c r="B17" s="52"/>
      <c r="C17" s="53"/>
      <c r="D17" s="115"/>
      <c r="E17" s="56"/>
      <c r="F17" s="54"/>
      <c r="G17" s="61">
        <f>IF(C17="","",D17*F17)</f>
      </c>
      <c r="H17" s="53"/>
      <c r="I17" s="56"/>
      <c r="J17" s="53"/>
      <c r="K17" s="1"/>
      <c r="L17" s="1"/>
    </row>
    <row r="18" ht="19" customHeight="1" spans="1:12" x14ac:dyDescent="0.25">
      <c r="A18" s="1"/>
      <c r="B18" s="52"/>
      <c r="C18" s="53"/>
      <c r="D18" s="115"/>
      <c r="E18" s="56"/>
      <c r="F18" s="54"/>
      <c r="G18" s="59">
        <f>IF(C18="","",D18*F18)</f>
      </c>
      <c r="H18" s="53"/>
      <c r="I18" s="56"/>
      <c r="J18" s="53"/>
      <c r="K18" s="1"/>
      <c r="L18" s="1"/>
    </row>
    <row r="19" ht="19" customHeight="1" spans="1:12" x14ac:dyDescent="0.25">
      <c r="A19" s="1"/>
      <c r="B19" s="52"/>
      <c r="C19" s="53"/>
      <c r="D19" s="115"/>
      <c r="E19" s="56"/>
      <c r="F19" s="54"/>
      <c r="G19" s="61">
        <f>IF(C19="","",D19*F19)</f>
      </c>
      <c r="H19" s="53"/>
      <c r="I19" s="56"/>
      <c r="J19" s="53"/>
      <c r="K19" s="1"/>
      <c r="L19" s="1"/>
    </row>
    <row r="20" ht="19" customHeight="1" spans="1:12" x14ac:dyDescent="0.25">
      <c r="A20" s="1"/>
      <c r="B20" s="52"/>
      <c r="C20" s="53"/>
      <c r="D20" s="115"/>
      <c r="E20" s="56"/>
      <c r="F20" s="54"/>
      <c r="G20" s="59">
        <f>IF(C20="","",D20*F20)</f>
      </c>
      <c r="H20" s="53"/>
      <c r="I20" s="56"/>
      <c r="J20" s="53"/>
      <c r="K20" s="1"/>
      <c r="L20" s="1"/>
    </row>
    <row r="21" ht="19" customHeight="1" spans="1:12" x14ac:dyDescent="0.25">
      <c r="A21" s="1"/>
      <c r="B21" s="52"/>
      <c r="C21" s="53"/>
      <c r="D21" s="115"/>
      <c r="E21" s="56"/>
      <c r="F21" s="54"/>
      <c r="G21" s="61">
        <f>IF(C21="","",D21*F21)</f>
      </c>
      <c r="H21" s="53"/>
      <c r="I21" s="56"/>
      <c r="J21" s="53"/>
      <c r="K21" s="1"/>
      <c r="L21" s="1"/>
    </row>
    <row r="22" ht="19" customHeight="1" spans="1:12" x14ac:dyDescent="0.25">
      <c r="A22" s="1"/>
      <c r="B22" s="52"/>
      <c r="C22" s="53"/>
      <c r="D22" s="115"/>
      <c r="E22" s="56"/>
      <c r="F22" s="54"/>
      <c r="G22" s="59">
        <f>IF(C22="","",D22*F22)</f>
      </c>
      <c r="H22" s="53"/>
      <c r="I22" s="56"/>
      <c r="J22" s="53"/>
      <c r="K22" s="1"/>
      <c r="L22" s="1"/>
    </row>
    <row r="23" ht="19" customHeight="1" spans="1:12" x14ac:dyDescent="0.25">
      <c r="A23" s="1"/>
      <c r="B23" s="52"/>
      <c r="C23" s="53"/>
      <c r="D23" s="115"/>
      <c r="E23" s="56"/>
      <c r="F23" s="54"/>
      <c r="G23" s="61">
        <f>IF(C23="","",D23*F23)</f>
      </c>
      <c r="H23" s="53"/>
      <c r="I23" s="56"/>
      <c r="J23" s="53"/>
      <c r="K23" s="1"/>
      <c r="L23" s="1"/>
    </row>
    <row r="24" ht="19" customHeight="1" spans="1:12" x14ac:dyDescent="0.25">
      <c r="A24" s="1"/>
      <c r="B24" s="52"/>
      <c r="C24" s="53"/>
      <c r="D24" s="115"/>
      <c r="E24" s="56"/>
      <c r="F24" s="54"/>
      <c r="G24" s="59">
        <f>IF(C24="","",D24*F24)</f>
      </c>
      <c r="H24" s="53"/>
      <c r="I24" s="56"/>
      <c r="J24" s="53"/>
      <c r="K24" s="1"/>
      <c r="L24" s="1"/>
    </row>
    <row r="25" ht="19" customHeight="1" spans="1:12" x14ac:dyDescent="0.25">
      <c r="A25" s="1"/>
      <c r="B25" s="52"/>
      <c r="C25" s="53"/>
      <c r="D25" s="115"/>
      <c r="E25" s="56"/>
      <c r="F25" s="54"/>
      <c r="G25" s="61">
        <f>IF(C25="","",D25*F25)</f>
      </c>
      <c r="H25" s="53"/>
      <c r="I25" s="56"/>
      <c r="J25" s="53"/>
      <c r="K25" s="1"/>
      <c r="L25" s="1"/>
    </row>
    <row r="26" ht="19" customHeight="1" spans="1:12" x14ac:dyDescent="0.25">
      <c r="A26" s="1"/>
      <c r="B26" s="52"/>
      <c r="C26" s="53"/>
      <c r="D26" s="115"/>
      <c r="E26" s="56"/>
      <c r="F26" s="54"/>
      <c r="G26" s="59">
        <f>IF(C26="","",D26*F26)</f>
      </c>
      <c r="H26" s="53"/>
      <c r="I26" s="56"/>
      <c r="J26" s="53"/>
      <c r="K26" s="1"/>
      <c r="L26" s="1"/>
    </row>
    <row r="27" ht="19" customHeight="1" spans="1:12" x14ac:dyDescent="0.25">
      <c r="A27" s="1"/>
      <c r="B27" s="52"/>
      <c r="C27" s="53"/>
      <c r="D27" s="115"/>
      <c r="E27" s="56"/>
      <c r="F27" s="54"/>
      <c r="G27" s="61">
        <f>IF(C27="","",D27*F27)</f>
      </c>
      <c r="H27" s="53"/>
      <c r="I27" s="56"/>
      <c r="J27" s="53"/>
      <c r="K27" s="1"/>
      <c r="L27" s="1"/>
    </row>
    <row r="28" ht="19" customHeight="1" spans="1:12" x14ac:dyDescent="0.25">
      <c r="A28" s="1"/>
      <c r="B28" s="52"/>
      <c r="C28" s="53"/>
      <c r="D28" s="115"/>
      <c r="E28" s="56"/>
      <c r="F28" s="54"/>
      <c r="G28" s="59">
        <f>IF(C28="","",D28*F28)</f>
      </c>
      <c r="H28" s="53"/>
      <c r="I28" s="56"/>
      <c r="J28" s="53"/>
      <c r="K28" s="1"/>
      <c r="L28" s="1"/>
    </row>
    <row r="29" ht="19" customHeight="1" spans="1:12" x14ac:dyDescent="0.25">
      <c r="A29" s="1"/>
      <c r="B29" s="52"/>
      <c r="C29" s="53"/>
      <c r="D29" s="115"/>
      <c r="E29" s="56"/>
      <c r="F29" s="54"/>
      <c r="G29" s="61">
        <f>IF(C29="","",D29*F29)</f>
      </c>
      <c r="H29" s="53"/>
      <c r="I29" s="56"/>
      <c r="J29" s="53"/>
      <c r="K29" s="1"/>
      <c r="L29" s="1"/>
    </row>
    <row r="30" ht="19" customHeight="1" spans="1:12" x14ac:dyDescent="0.25">
      <c r="A30" s="1"/>
      <c r="B30" s="52"/>
      <c r="C30" s="53"/>
      <c r="D30" s="115"/>
      <c r="E30" s="56"/>
      <c r="F30" s="54"/>
      <c r="G30" s="59">
        <f>IF(C30="","",D30*F30)</f>
      </c>
      <c r="H30" s="53"/>
      <c r="I30" s="56"/>
      <c r="J30" s="53"/>
      <c r="K30" s="1"/>
      <c r="L30" s="1"/>
    </row>
    <row r="31" ht="24" customHeight="1" spans="1:12" x14ac:dyDescent="0.25">
      <c r="A31" s="1"/>
      <c r="B31" s="62" t="s">
        <v>595</v>
      </c>
      <c r="C31" s="63"/>
      <c r="D31" s="63"/>
      <c r="E31" s="63"/>
      <c r="F31" s="63"/>
      <c r="G31" s="64">
        <f>SUM(G6:G30)</f>
      </c>
      <c r="H31" s="63"/>
      <c r="I31" s="63"/>
      <c r="J31" s="63"/>
      <c r="K31" s="1"/>
      <c r="L31" s="1"/>
    </row>
    <row r="32" spans="1:12" x14ac:dyDescent="0.25">
      <c r="A32" s="1"/>
      <c r="B32" s="1"/>
      <c r="C32" s="1"/>
      <c r="D32" s="1"/>
      <c r="E32" s="1"/>
      <c r="F32" s="1"/>
      <c r="G32" s="1"/>
      <c r="H32" s="1"/>
      <c r="I32" s="1"/>
      <c r="J32" s="1"/>
      <c r="K32" s="1"/>
      <c r="L32" s="1"/>
    </row>
    <row r="33" ht="18" customHeight="1" spans="1:12" x14ac:dyDescent="0.25">
      <c r="A33" s="1"/>
      <c r="B33" s="48" t="s">
        <v>596</v>
      </c>
      <c r="C33" s="48"/>
      <c r="D33" s="48"/>
      <c r="E33" s="48"/>
      <c r="F33" s="48"/>
      <c r="G33" s="48"/>
      <c r="H33" s="48"/>
      <c r="I33" s="48"/>
      <c r="J33" s="48"/>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mergeCells count="3">
    <mergeCell ref="B2:J2"/>
    <mergeCell ref="B3:J3"/>
    <mergeCell ref="B33:J33"/>
  </mergeCells>
  <conditionalFormatting sqref="I6:I30">
    <cfRule type="expression" dxfId="118" priority="1">
      <formula>I6="Yes"</formula>
    </cfRule>
  </conditionalFormatting>
  <dataValidations count="2">
    <dataValidation type="list" allowBlank="1" sqref="E6:E30">
      <formula1>"Hire,Buy,DIY"</formula1>
    </dataValidation>
    <dataValidation type="list" allowBlank="1" sqref="I6:I30">
      <formula1>"Yes,No"</formula1>
    </dataValidation>
  </dataValidations>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L40"/>
  <sheetViews>
    <sheetView workbookViewId="0" showGridLines="0" zoomScale="100"/>
  </sheetViews>
  <sheetFormatPr defaultRowHeight="15" outlineLevelRow="0" outlineLevelCol="0" x14ac:dyDescent="55"/>
  <cols>
    <col min="1" max="1" width="3" customWidth="1"/>
    <col min="2" max="2" width="26" customWidth="1"/>
    <col min="3" max="3" width="14" customWidth="1"/>
    <col min="4" max="5" width="12" customWidth="1"/>
    <col min="6" max="6" width="13" customWidth="1"/>
    <col min="7" max="7" width="22" customWidth="1"/>
    <col min="8" max="8" width="11" customWidth="1"/>
    <col min="9" max="9" width="24" customWidth="1"/>
  </cols>
  <sheetData>
    <row r="1" ht="14" customHeight="1" spans="1:12" x14ac:dyDescent="0.25">
      <c r="A1" s="1"/>
      <c r="B1" s="1"/>
      <c r="C1" s="1"/>
      <c r="D1" s="1"/>
      <c r="E1" s="1"/>
      <c r="F1" s="1"/>
      <c r="G1" s="1"/>
      <c r="H1" s="1"/>
      <c r="I1" s="1"/>
      <c r="J1" s="1"/>
      <c r="K1" s="1"/>
      <c r="L1" s="1"/>
    </row>
    <row r="2" ht="38" customHeight="1" spans="1:12" x14ac:dyDescent="0.25">
      <c r="A2" s="1"/>
      <c r="B2" s="34" t="s">
        <v>597</v>
      </c>
      <c r="C2" s="34"/>
      <c r="D2" s="34"/>
      <c r="E2" s="34"/>
      <c r="F2" s="34"/>
      <c r="G2" s="34"/>
      <c r="H2" s="34"/>
      <c r="I2" s="34"/>
      <c r="J2" s="34"/>
      <c r="K2" s="1"/>
      <c r="L2" s="1"/>
    </row>
    <row r="3" ht="18" customHeight="1" spans="1:12" x14ac:dyDescent="0.25">
      <c r="A3" s="1"/>
      <c r="B3" s="35" t="s">
        <v>598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521</v>
      </c>
      <c r="C5" s="51" t="s">
        <v>599</v>
      </c>
      <c r="D5" s="51" t="s">
        <v>600</v>
      </c>
      <c r="E5" s="50" t="s">
        <v>574</v>
      </c>
      <c r="F5" s="50" t="s">
        <v>113</v>
      </c>
      <c r="G5" s="49" t="s">
        <v>601</v>
      </c>
      <c r="H5" s="51" t="s">
        <v>525</v>
      </c>
      <c r="I5" s="49" t="s">
        <v>91</v>
      </c>
      <c r="J5" s="1"/>
      <c r="K5" s="1"/>
      <c r="L5" s="1"/>
    </row>
    <row r="6" ht="19" customHeight="1" spans="1:12" x14ac:dyDescent="0.25">
      <c r="A6" s="1"/>
      <c r="B6" s="52" t="s">
        <v>602</v>
      </c>
      <c r="C6" s="72">
        <f>COUNTA('Guest List'!$C6:$C205)</f>
      </c>
      <c r="D6" s="56"/>
      <c r="E6" s="112">
        <v>2.2</v>
      </c>
      <c r="F6" s="59">
        <f>IF(B6="","",IF(D6="",C6,D6)*E6)</f>
      </c>
      <c r="G6" s="53"/>
      <c r="H6" s="56" t="s">
        <v>93</v>
      </c>
      <c r="I6" s="53"/>
      <c r="J6" s="1"/>
      <c r="K6" s="1"/>
      <c r="L6" s="1"/>
    </row>
    <row r="7" ht="19" customHeight="1" spans="1:12" x14ac:dyDescent="0.25">
      <c r="A7" s="1"/>
      <c r="B7" s="52" t="s">
        <v>603</v>
      </c>
      <c r="C7" s="74">
        <f>COUNTA('Guest List'!$C6:$C205)</f>
      </c>
      <c r="D7" s="56"/>
      <c r="E7" s="112">
        <v>4.5</v>
      </c>
      <c r="F7" s="61">
        <f>IF(B7="","",IF(D7="",C7,D7)*E7)</f>
      </c>
      <c r="G7" s="53"/>
      <c r="H7" s="56" t="s">
        <v>93</v>
      </c>
      <c r="I7" s="53"/>
      <c r="J7" s="1"/>
      <c r="K7" s="1"/>
      <c r="L7" s="1"/>
    </row>
    <row r="8" ht="19" customHeight="1" spans="1:12" x14ac:dyDescent="0.25">
      <c r="A8" s="1"/>
      <c r="B8" s="52" t="s">
        <v>604</v>
      </c>
      <c r="C8" s="72">
        <f>COUNTA('Guest List'!$C6:$C205)</f>
      </c>
      <c r="D8" s="56"/>
      <c r="E8" s="112">
        <v>1.8</v>
      </c>
      <c r="F8" s="59">
        <f>IF(B8="","",IF(D8="",C8,D8)*E8)</f>
      </c>
      <c r="G8" s="53"/>
      <c r="H8" s="56" t="s">
        <v>93</v>
      </c>
      <c r="I8" s="53"/>
      <c r="J8" s="1"/>
      <c r="K8" s="1"/>
      <c r="L8" s="1"/>
    </row>
    <row r="9" ht="19" customHeight="1" spans="1:12" x14ac:dyDescent="0.25">
      <c r="A9" s="1"/>
      <c r="B9" s="52" t="s">
        <v>605</v>
      </c>
      <c r="C9" s="74">
        <f>SUMIF('Guest List'!$H6:$H205,"Yes",'Guest List'!$Q6:$Q205)</f>
      </c>
      <c r="D9" s="56"/>
      <c r="E9" s="112">
        <v>1.6</v>
      </c>
      <c r="F9" s="61">
        <f>IF(B9="","",IF(D9="",C9,D9)*E9)</f>
      </c>
      <c r="G9" s="53"/>
      <c r="H9" s="56" t="s">
        <v>93</v>
      </c>
      <c r="I9" s="53"/>
      <c r="J9" s="1"/>
      <c r="K9" s="1"/>
      <c r="L9" s="1"/>
    </row>
    <row r="10" ht="19" customHeight="1" spans="1:12" x14ac:dyDescent="0.25">
      <c r="A10" s="1"/>
      <c r="B10" s="52" t="s">
        <v>606</v>
      </c>
      <c r="C10" s="72">
        <f>SUMIF('Guest List'!$H6:$H205,"Yes",'Guest List'!$Q6:$Q205)</f>
      </c>
      <c r="D10" s="56"/>
      <c r="E10" s="112">
        <v>1.4</v>
      </c>
      <c r="F10" s="59">
        <f>IF(B10="","",IF(D10="",C10,D10)*E10)</f>
      </c>
      <c r="G10" s="53"/>
      <c r="H10" s="56" t="s">
        <v>93</v>
      </c>
      <c r="I10" s="53"/>
      <c r="J10" s="1"/>
      <c r="K10" s="1"/>
      <c r="L10" s="1"/>
    </row>
    <row r="11" ht="19" customHeight="1" spans="1:12" x14ac:dyDescent="0.25">
      <c r="A11" s="1"/>
      <c r="B11" s="52" t="s">
        <v>607</v>
      </c>
      <c r="C11" s="74">
        <f>SUMIF('Guest List'!$H6:$H205,"Yes",'Guest List'!$Q6:$Q205)</f>
      </c>
      <c r="D11" s="56"/>
      <c r="E11" s="112">
        <v>0.9</v>
      </c>
      <c r="F11" s="61">
        <f>IF(B11="","",IF(D11="",C11,D11)*E11)</f>
      </c>
      <c r="G11" s="53"/>
      <c r="H11" s="56" t="s">
        <v>93</v>
      </c>
      <c r="I11" s="53"/>
      <c r="J11" s="1"/>
      <c r="K11" s="1"/>
      <c r="L11" s="1"/>
    </row>
    <row r="12" ht="19" customHeight="1" spans="1:12" x14ac:dyDescent="0.25">
      <c r="A12" s="1"/>
      <c r="B12" s="52" t="s">
        <v>608</v>
      </c>
      <c r="C12" s="72">
        <f>COUNTIF('Seating Plan'!$E6:$E25,"&gt;0")</f>
      </c>
      <c r="D12" s="56"/>
      <c r="E12" s="112">
        <v>3.5</v>
      </c>
      <c r="F12" s="59">
        <f>IF(B12="","",IF(D12="",C12,D12)*E12)</f>
      </c>
      <c r="G12" s="53"/>
      <c r="H12" s="56" t="s">
        <v>93</v>
      </c>
      <c r="I12" s="53"/>
      <c r="J12" s="1"/>
      <c r="K12" s="1"/>
      <c r="L12" s="1"/>
    </row>
    <row r="13" ht="19" customHeight="1" spans="1:12" x14ac:dyDescent="0.25">
      <c r="A13" s="1"/>
      <c r="B13" s="52" t="s">
        <v>593</v>
      </c>
      <c r="C13" s="74">
        <f>1</f>
      </c>
      <c r="D13" s="56"/>
      <c r="E13" s="112">
        <v>40</v>
      </c>
      <c r="F13" s="61">
        <f>IF(B13="","",IF(D13="",C13,D13)*E13)</f>
      </c>
      <c r="G13" s="53"/>
      <c r="H13" s="56" t="s">
        <v>93</v>
      </c>
      <c r="I13" s="53"/>
      <c r="J13" s="1"/>
      <c r="K13" s="1"/>
      <c r="L13" s="1"/>
    </row>
    <row r="14" ht="19" customHeight="1" spans="1:12" x14ac:dyDescent="0.25">
      <c r="A14" s="1"/>
      <c r="B14" s="52" t="s">
        <v>609</v>
      </c>
      <c r="C14" s="72">
        <f>1</f>
      </c>
      <c r="D14" s="56"/>
      <c r="E14" s="112">
        <v>55</v>
      </c>
      <c r="F14" s="59">
        <f>IF(B14="","",IF(D14="",C14,D14)*E14)</f>
      </c>
      <c r="G14" s="53"/>
      <c r="H14" s="56" t="s">
        <v>93</v>
      </c>
      <c r="I14" s="53"/>
      <c r="J14" s="1"/>
      <c r="K14" s="1"/>
      <c r="L14" s="1"/>
    </row>
    <row r="15" ht="19" customHeight="1" spans="1:12" x14ac:dyDescent="0.25">
      <c r="A15" s="1"/>
      <c r="B15" s="52" t="s">
        <v>610</v>
      </c>
      <c r="C15" s="74">
        <f>COUNTA('Guest List'!$C6:$C205)</f>
      </c>
      <c r="D15" s="56"/>
      <c r="E15" s="112">
        <v>1.9</v>
      </c>
      <c r="F15" s="61">
        <f>IF(B15="","",IF(D15="",C15,D15)*E15)</f>
      </c>
      <c r="G15" s="53"/>
      <c r="H15" s="56" t="s">
        <v>93</v>
      </c>
      <c r="I15" s="53"/>
      <c r="J15" s="1"/>
      <c r="K15" s="1"/>
      <c r="L15" s="1"/>
    </row>
    <row r="16" ht="19" customHeight="1" spans="1:12" x14ac:dyDescent="0.25">
      <c r="A16" s="1"/>
      <c r="B16" s="52"/>
      <c r="C16" s="72"/>
      <c r="D16" s="56"/>
      <c r="E16" s="112"/>
      <c r="F16" s="59">
        <f>IF(B16="","",IF(D16="",C16,D16)*E16)</f>
      </c>
      <c r="G16" s="53"/>
      <c r="H16" s="56"/>
      <c r="I16" s="53"/>
      <c r="J16" s="1"/>
      <c r="K16" s="1"/>
      <c r="L16" s="1"/>
    </row>
    <row r="17" ht="19" customHeight="1" spans="1:12" x14ac:dyDescent="0.25">
      <c r="A17" s="1"/>
      <c r="B17" s="52"/>
      <c r="C17" s="74"/>
      <c r="D17" s="56"/>
      <c r="E17" s="112"/>
      <c r="F17" s="61">
        <f>IF(B17="","",IF(D17="",C17,D17)*E17)</f>
      </c>
      <c r="G17" s="53"/>
      <c r="H17" s="56"/>
      <c r="I17" s="53"/>
      <c r="J17" s="1"/>
      <c r="K17" s="1"/>
      <c r="L17" s="1"/>
    </row>
    <row r="18" ht="19" customHeight="1" spans="1:12" x14ac:dyDescent="0.25">
      <c r="A18" s="1"/>
      <c r="B18" s="52"/>
      <c r="C18" s="72"/>
      <c r="D18" s="56"/>
      <c r="E18" s="112"/>
      <c r="F18" s="59">
        <f>IF(B18="","",IF(D18="",C18,D18)*E18)</f>
      </c>
      <c r="G18" s="53"/>
      <c r="H18" s="56"/>
      <c r="I18" s="53"/>
      <c r="J18" s="1"/>
      <c r="K18" s="1"/>
      <c r="L18" s="1"/>
    </row>
    <row r="19" ht="19" customHeight="1" spans="1:12" x14ac:dyDescent="0.25">
      <c r="A19" s="1"/>
      <c r="B19" s="52"/>
      <c r="C19" s="74"/>
      <c r="D19" s="56"/>
      <c r="E19" s="112"/>
      <c r="F19" s="61">
        <f>IF(B19="","",IF(D19="",C19,D19)*E19)</f>
      </c>
      <c r="G19" s="53"/>
      <c r="H19" s="56"/>
      <c r="I19" s="53"/>
      <c r="J19" s="1"/>
      <c r="K19" s="1"/>
      <c r="L19" s="1"/>
    </row>
    <row r="20" ht="19" customHeight="1" spans="1:12" x14ac:dyDescent="0.25">
      <c r="A20" s="1"/>
      <c r="B20" s="52"/>
      <c r="C20" s="72"/>
      <c r="D20" s="56"/>
      <c r="E20" s="112"/>
      <c r="F20" s="59">
        <f>IF(B20="","",IF(D20="",C20,D20)*E20)</f>
      </c>
      <c r="G20" s="53"/>
      <c r="H20" s="56"/>
      <c r="I20" s="53"/>
      <c r="J20" s="1"/>
      <c r="K20" s="1"/>
      <c r="L20" s="1"/>
    </row>
    <row r="21" ht="19" customHeight="1" spans="1:12" x14ac:dyDescent="0.25">
      <c r="A21" s="1"/>
      <c r="B21" s="52"/>
      <c r="C21" s="74"/>
      <c r="D21" s="56"/>
      <c r="E21" s="112"/>
      <c r="F21" s="61">
        <f>IF(B21="","",IF(D21="",C21,D21)*E21)</f>
      </c>
      <c r="G21" s="53"/>
      <c r="H21" s="56"/>
      <c r="I21" s="53"/>
      <c r="J21" s="1"/>
      <c r="K21" s="1"/>
      <c r="L21" s="1"/>
    </row>
    <row r="22" ht="24" customHeight="1" spans="1:12" x14ac:dyDescent="0.25">
      <c r="A22" s="1"/>
      <c r="B22" s="62" t="s">
        <v>611</v>
      </c>
      <c r="C22" s="63"/>
      <c r="D22" s="63"/>
      <c r="E22" s="63"/>
      <c r="F22" s="64">
        <f>SUM(F6:F21)</f>
      </c>
      <c r="G22" s="63"/>
      <c r="H22" s="63"/>
      <c r="I22" s="63"/>
      <c r="J22" s="1"/>
      <c r="K22" s="1"/>
      <c r="L22" s="1"/>
    </row>
    <row r="23" spans="1:12" x14ac:dyDescent="0.25">
      <c r="A23" s="1"/>
      <c r="B23" s="1"/>
      <c r="C23" s="1"/>
      <c r="D23" s="1"/>
      <c r="E23" s="1"/>
      <c r="F23" s="1"/>
      <c r="G23" s="1"/>
      <c r="H23" s="1"/>
      <c r="I23" s="1"/>
      <c r="J23" s="1"/>
      <c r="K23" s="1"/>
      <c r="L23" s="1"/>
    </row>
    <row r="24" ht="30" customHeight="1" spans="1:12" x14ac:dyDescent="0.25">
      <c r="A24" s="1"/>
      <c r="B24" s="48" t="s">
        <v>612</v>
      </c>
      <c r="C24" s="48"/>
      <c r="D24" s="48"/>
      <c r="E24" s="48"/>
      <c r="F24" s="48"/>
      <c r="G24" s="48"/>
      <c r="H24" s="48"/>
      <c r="I24" s="48"/>
      <c r="J24" s="48"/>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4:J24"/>
  </mergeCells>
  <conditionalFormatting sqref="H6:H21">
    <cfRule type="expression" dxfId="119" priority="1">
      <formula>H6="Yes"</formula>
    </cfRule>
  </conditionalFormatting>
  <dataValidations count="1">
    <dataValidation type="list" allowBlank="1" sqref="H6:H21">
      <formula1>"Yes,No"</formula1>
    </dataValidation>
  </dataValidations>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J45"/>
  <sheetViews>
    <sheetView workbookViewId="0" showGridLines="0" zoomScale="100"/>
  </sheetViews>
  <sheetFormatPr defaultRowHeight="15" outlineLevelRow="0" outlineLevelCol="0" x14ac:dyDescent="55"/>
  <cols>
    <col min="1" max="1" width="3" customWidth="1"/>
    <col min="2" max="2" width="26" customWidth="1"/>
    <col min="3" max="3" width="30" customWidth="1"/>
    <col min="4" max="4" width="24" customWidth="1"/>
    <col min="5" max="5" width="18" customWidth="1"/>
    <col min="6" max="6" width="12"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500</v>
      </c>
      <c r="C2" s="34"/>
      <c r="D2" s="34"/>
      <c r="E2" s="34"/>
      <c r="F2" s="34"/>
      <c r="G2" s="34"/>
      <c r="H2" s="34"/>
      <c r="I2" s="1"/>
      <c r="J2" s="1"/>
    </row>
    <row r="3" ht="18" customHeight="1" spans="1:10" x14ac:dyDescent="0.25">
      <c r="A3" s="1"/>
      <c r="B3" s="35" t="s">
        <v>501</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502</v>
      </c>
      <c r="C5" s="49" t="s">
        <v>503</v>
      </c>
      <c r="D5" s="49" t="s">
        <v>504</v>
      </c>
      <c r="E5" s="49" t="s">
        <v>505</v>
      </c>
      <c r="F5" s="51" t="s">
        <v>481</v>
      </c>
      <c r="G5" s="49" t="s">
        <v>91</v>
      </c>
      <c r="H5" s="1"/>
      <c r="I5" s="1"/>
      <c r="J5" s="1"/>
    </row>
    <row r="6" ht="19" customHeight="1" spans="1:10" x14ac:dyDescent="0.25">
      <c r="A6" s="1"/>
      <c r="B6" s="66" t="s">
        <v>506</v>
      </c>
      <c r="C6" s="53"/>
      <c r="D6" s="53"/>
      <c r="E6" s="53"/>
      <c r="F6" s="56" t="s">
        <v>93</v>
      </c>
      <c r="G6" s="53"/>
      <c r="H6" s="1"/>
      <c r="I6" s="1"/>
      <c r="J6" s="1"/>
    </row>
    <row r="7" ht="19" customHeight="1" spans="1:10" x14ac:dyDescent="0.25">
      <c r="A7" s="1"/>
      <c r="B7" s="68" t="s">
        <v>507</v>
      </c>
      <c r="C7" s="53"/>
      <c r="D7" s="53"/>
      <c r="E7" s="53"/>
      <c r="F7" s="56" t="s">
        <v>93</v>
      </c>
      <c r="G7" s="53"/>
      <c r="H7" s="1"/>
      <c r="I7" s="1"/>
      <c r="J7" s="1"/>
    </row>
    <row r="8" ht="19" customHeight="1" spans="1:10" x14ac:dyDescent="0.25">
      <c r="A8" s="1"/>
      <c r="B8" s="66" t="s">
        <v>508</v>
      </c>
      <c r="C8" s="53"/>
      <c r="D8" s="53"/>
      <c r="E8" s="53"/>
      <c r="F8" s="56" t="s">
        <v>93</v>
      </c>
      <c r="G8" s="53"/>
      <c r="H8" s="1"/>
      <c r="I8" s="1"/>
      <c r="J8" s="1"/>
    </row>
    <row r="9" ht="19" customHeight="1" spans="1:10" x14ac:dyDescent="0.25">
      <c r="A9" s="1"/>
      <c r="B9" s="68" t="s">
        <v>509</v>
      </c>
      <c r="C9" s="53"/>
      <c r="D9" s="53"/>
      <c r="E9" s="53"/>
      <c r="F9" s="56" t="s">
        <v>93</v>
      </c>
      <c r="G9" s="53"/>
      <c r="H9" s="1"/>
      <c r="I9" s="1"/>
      <c r="J9" s="1"/>
    </row>
    <row r="10" ht="19" customHeight="1" spans="1:10" x14ac:dyDescent="0.25">
      <c r="A10" s="1"/>
      <c r="B10" s="66" t="s">
        <v>510</v>
      </c>
      <c r="C10" s="53"/>
      <c r="D10" s="53"/>
      <c r="E10" s="53"/>
      <c r="F10" s="56" t="s">
        <v>93</v>
      </c>
      <c r="G10" s="53"/>
      <c r="H10" s="1"/>
      <c r="I10" s="1"/>
      <c r="J10" s="1"/>
    </row>
    <row r="11" ht="19" customHeight="1" spans="1:10" x14ac:dyDescent="0.25">
      <c r="A11" s="1"/>
      <c r="B11" s="68" t="s">
        <v>511</v>
      </c>
      <c r="C11" s="53"/>
      <c r="D11" s="53"/>
      <c r="E11" s="53"/>
      <c r="F11" s="56" t="s">
        <v>93</v>
      </c>
      <c r="G11" s="53"/>
      <c r="H11" s="1"/>
      <c r="I11" s="1"/>
      <c r="J11" s="1"/>
    </row>
    <row r="12" ht="19" customHeight="1" spans="1:10" x14ac:dyDescent="0.25">
      <c r="A12" s="1"/>
      <c r="B12" s="66" t="s">
        <v>512</v>
      </c>
      <c r="C12" s="53"/>
      <c r="D12" s="53"/>
      <c r="E12" s="53"/>
      <c r="F12" s="56" t="s">
        <v>93</v>
      </c>
      <c r="G12" s="53"/>
      <c r="H12" s="1"/>
      <c r="I12" s="1"/>
      <c r="J12" s="1"/>
    </row>
    <row r="13" ht="19" customHeight="1" spans="1:10" x14ac:dyDescent="0.25">
      <c r="A13" s="1"/>
      <c r="B13" s="68" t="s">
        <v>513</v>
      </c>
      <c r="C13" s="53"/>
      <c r="D13" s="53"/>
      <c r="E13" s="53"/>
      <c r="F13" s="56" t="s">
        <v>93</v>
      </c>
      <c r="G13" s="53"/>
      <c r="H13" s="1"/>
      <c r="I13" s="1"/>
      <c r="J13" s="1"/>
    </row>
    <row r="14" ht="19" customHeight="1" spans="1:10" x14ac:dyDescent="0.25">
      <c r="A14" s="1"/>
      <c r="B14" s="66" t="s">
        <v>448</v>
      </c>
      <c r="C14" s="53"/>
      <c r="D14" s="53"/>
      <c r="E14" s="53"/>
      <c r="F14" s="56" t="s">
        <v>93</v>
      </c>
      <c r="G14" s="53"/>
      <c r="H14" s="1"/>
      <c r="I14" s="1"/>
      <c r="J14" s="1"/>
    </row>
    <row r="15" ht="19" customHeight="1" spans="1:10" x14ac:dyDescent="0.25">
      <c r="A15" s="1"/>
      <c r="B15" s="68" t="s">
        <v>455</v>
      </c>
      <c r="C15" s="53"/>
      <c r="D15" s="53"/>
      <c r="E15" s="53"/>
      <c r="F15" s="56" t="s">
        <v>93</v>
      </c>
      <c r="G15" s="53"/>
      <c r="H15" s="1"/>
      <c r="I15" s="1"/>
      <c r="J15" s="1"/>
    </row>
    <row r="16" ht="19" customHeight="1" spans="1:10" x14ac:dyDescent="0.25">
      <c r="A16" s="1"/>
      <c r="B16" s="66" t="s">
        <v>514</v>
      </c>
      <c r="C16" s="53"/>
      <c r="D16" s="53"/>
      <c r="E16" s="53"/>
      <c r="F16" s="56" t="s">
        <v>93</v>
      </c>
      <c r="G16" s="53"/>
      <c r="H16" s="1"/>
      <c r="I16" s="1"/>
      <c r="J16" s="1"/>
    </row>
    <row r="17" ht="19" customHeight="1" spans="1:10" x14ac:dyDescent="0.25">
      <c r="A17" s="1"/>
      <c r="B17" s="68" t="s">
        <v>515</v>
      </c>
      <c r="C17" s="53"/>
      <c r="D17" s="53"/>
      <c r="E17" s="53"/>
      <c r="F17" s="56" t="s">
        <v>93</v>
      </c>
      <c r="G17" s="53"/>
      <c r="H17" s="1"/>
      <c r="I17" s="1"/>
      <c r="J17" s="1"/>
    </row>
    <row r="18" ht="19" customHeight="1" spans="1:10" x14ac:dyDescent="0.25">
      <c r="A18" s="1"/>
      <c r="B18" s="66" t="s">
        <v>462</v>
      </c>
      <c r="C18" s="53"/>
      <c r="D18" s="53"/>
      <c r="E18" s="53"/>
      <c r="F18" s="56" t="s">
        <v>93</v>
      </c>
      <c r="G18" s="53"/>
      <c r="H18" s="1"/>
      <c r="I18" s="1"/>
      <c r="J18" s="1"/>
    </row>
    <row r="19" ht="19" customHeight="1" spans="1:10" x14ac:dyDescent="0.25">
      <c r="A19" s="1"/>
      <c r="B19" s="68"/>
      <c r="C19" s="53"/>
      <c r="D19" s="53"/>
      <c r="E19" s="53"/>
      <c r="F19" s="56"/>
      <c r="G19" s="53"/>
      <c r="H19" s="1"/>
      <c r="I19" s="1"/>
      <c r="J19" s="1"/>
    </row>
    <row r="20" ht="19" customHeight="1" spans="1:10" x14ac:dyDescent="0.25">
      <c r="A20" s="1"/>
      <c r="B20" s="66"/>
      <c r="C20" s="53"/>
      <c r="D20" s="53"/>
      <c r="E20" s="53"/>
      <c r="F20" s="56"/>
      <c r="G20" s="53"/>
      <c r="H20" s="1"/>
      <c r="I20" s="1"/>
      <c r="J20" s="1"/>
    </row>
    <row r="21" ht="19" customHeight="1" spans="1:10" x14ac:dyDescent="0.25">
      <c r="A21" s="1"/>
      <c r="B21" s="68"/>
      <c r="C21" s="53"/>
      <c r="D21" s="53"/>
      <c r="E21" s="53"/>
      <c r="F21" s="56"/>
      <c r="G21" s="53"/>
      <c r="H21" s="1"/>
      <c r="I21" s="1"/>
      <c r="J21" s="1"/>
    </row>
    <row r="22" ht="19" customHeight="1" spans="1:10" x14ac:dyDescent="0.25">
      <c r="A22" s="1"/>
      <c r="B22" s="66"/>
      <c r="C22" s="53"/>
      <c r="D22" s="53"/>
      <c r="E22" s="53"/>
      <c r="F22" s="56"/>
      <c r="G22" s="53"/>
      <c r="H22" s="1"/>
      <c r="I22" s="1"/>
      <c r="J22" s="1"/>
    </row>
    <row r="23" ht="19" customHeight="1" spans="1:10" x14ac:dyDescent="0.25">
      <c r="A23" s="1"/>
      <c r="B23" s="68"/>
      <c r="C23" s="53"/>
      <c r="D23" s="53"/>
      <c r="E23" s="53"/>
      <c r="F23" s="56"/>
      <c r="G23" s="53"/>
      <c r="H23" s="1"/>
      <c r="I23" s="1"/>
      <c r="J23" s="1"/>
    </row>
    <row r="24" spans="1:10" x14ac:dyDescent="0.25">
      <c r="A24" s="1"/>
      <c r="B24" s="1"/>
      <c r="C24" s="1"/>
      <c r="D24" s="1"/>
      <c r="E24" s="1"/>
      <c r="F24" s="1"/>
      <c r="G24" s="1"/>
      <c r="H24" s="1"/>
      <c r="I24" s="1"/>
      <c r="J24" s="1"/>
    </row>
    <row r="25" ht="24" customHeight="1" spans="1:10" x14ac:dyDescent="0.25">
      <c r="A25" s="1"/>
      <c r="B25" s="113" t="s">
        <v>516</v>
      </c>
      <c r="C25" s="114"/>
      <c r="D25" s="114"/>
      <c r="E25" s="1"/>
      <c r="F25" s="1"/>
      <c r="G25" s="1"/>
      <c r="H25" s="1"/>
      <c r="I25" s="1"/>
      <c r="J25" s="1"/>
    </row>
    <row r="26" ht="19" customHeight="1" spans="1:10" x14ac:dyDescent="0.25">
      <c r="A26" s="1"/>
      <c r="B26" s="52" t="s">
        <v>517</v>
      </c>
      <c r="C26" s="53"/>
      <c r="D26" s="53"/>
      <c r="E26" s="1"/>
      <c r="F26" s="1"/>
      <c r="G26" s="1"/>
      <c r="H26" s="1"/>
      <c r="I26" s="1"/>
      <c r="J26" s="1"/>
    </row>
    <row r="27" ht="19" customHeight="1" spans="1:10" x14ac:dyDescent="0.25">
      <c r="A27" s="1"/>
      <c r="B27" s="52"/>
      <c r="C27" s="53"/>
      <c r="D27" s="53"/>
      <c r="E27" s="1"/>
      <c r="F27" s="1"/>
      <c r="G27" s="1"/>
      <c r="H27" s="1"/>
      <c r="I27" s="1"/>
      <c r="J27" s="1"/>
    </row>
    <row r="28" ht="19" customHeight="1" spans="1:10" x14ac:dyDescent="0.25">
      <c r="A28" s="1"/>
      <c r="B28" s="52"/>
      <c r="C28" s="53"/>
      <c r="D28" s="53"/>
      <c r="E28" s="1"/>
      <c r="F28" s="1"/>
      <c r="G28" s="1"/>
      <c r="H28" s="1"/>
      <c r="I28" s="1"/>
      <c r="J28" s="1"/>
    </row>
    <row r="29" ht="19" customHeight="1" spans="1:10" x14ac:dyDescent="0.25">
      <c r="A29" s="1"/>
      <c r="B29" s="52"/>
      <c r="C29" s="53"/>
      <c r="D29" s="53"/>
      <c r="E29" s="1"/>
      <c r="F29" s="1"/>
      <c r="G29" s="1"/>
      <c r="H29" s="1"/>
      <c r="I29" s="1"/>
      <c r="J29" s="1"/>
    </row>
    <row r="30" ht="19" customHeight="1" spans="1:10" x14ac:dyDescent="0.25">
      <c r="A30" s="1"/>
      <c r="B30" s="52"/>
      <c r="C30" s="53"/>
      <c r="D30" s="53"/>
      <c r="E30" s="1"/>
      <c r="F30" s="1"/>
      <c r="G30" s="1"/>
      <c r="H30" s="1"/>
      <c r="I30" s="1"/>
      <c r="J30" s="1"/>
    </row>
    <row r="31" ht="19" customHeight="1" spans="1:10" x14ac:dyDescent="0.25">
      <c r="A31" s="1"/>
      <c r="B31" s="52"/>
      <c r="C31" s="53"/>
      <c r="D31" s="53"/>
      <c r="E31" s="1"/>
      <c r="F31" s="1"/>
      <c r="G31" s="1"/>
      <c r="H31" s="1"/>
      <c r="I31" s="1"/>
      <c r="J31" s="1"/>
    </row>
    <row r="32" ht="19" customHeight="1" spans="1:10" x14ac:dyDescent="0.25">
      <c r="A32" s="1"/>
      <c r="B32" s="52"/>
      <c r="C32" s="53"/>
      <c r="D32" s="53"/>
      <c r="E32" s="1"/>
      <c r="F32" s="1"/>
      <c r="G32" s="1"/>
      <c r="H32" s="1"/>
      <c r="I32" s="1"/>
      <c r="J32" s="1"/>
    </row>
    <row r="33" ht="19" customHeight="1" spans="1:10" x14ac:dyDescent="0.25">
      <c r="A33" s="1"/>
      <c r="B33" s="52"/>
      <c r="C33" s="53"/>
      <c r="D33" s="53"/>
      <c r="E33" s="1"/>
      <c r="F33" s="1"/>
      <c r="G33" s="1"/>
      <c r="H33" s="1"/>
      <c r="I33" s="1"/>
      <c r="J33" s="1"/>
    </row>
    <row r="34" spans="1:10" x14ac:dyDescent="0.25">
      <c r="A34" s="1"/>
      <c r="B34" s="1"/>
      <c r="C34" s="1"/>
      <c r="D34" s="1"/>
      <c r="E34" s="1"/>
      <c r="F34" s="1"/>
      <c r="G34" s="1"/>
      <c r="H34" s="1"/>
      <c r="I34" s="1"/>
      <c r="J34" s="1"/>
    </row>
    <row r="35" ht="18" customHeight="1" spans="1:10" x14ac:dyDescent="0.25">
      <c r="A35" s="1"/>
      <c r="B35" s="48" t="s">
        <v>518</v>
      </c>
      <c r="C35" s="48"/>
      <c r="D35" s="48"/>
      <c r="E35" s="48"/>
      <c r="F35" s="48"/>
      <c r="G35" s="48"/>
      <c r="H35" s="48"/>
      <c r="I35" s="48"/>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5:I35"/>
  </mergeCells>
  <conditionalFormatting sqref="F6:F23">
    <cfRule type="expression" dxfId="112" priority="1">
      <formula>F6="Yes"</formula>
    </cfRule>
  </conditionalFormatting>
  <dataValidations count="1">
    <dataValidation type="list" allowBlank="1" sqref="F6:F23">
      <formula1>"Yes,No"</formula1>
    </dataValidation>
  </dataValidations>
  <pageMargins left="0.4" right="0.4" top="0.5" bottom="0.5" header="0.2" footer="0.2"/>
  <pageSetup orientation="portrait" horizontalDpi="4294967295" verticalDpi="4294967295" scale="100" fitToWidth="1" fitToHeight="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J35"/>
  <sheetViews>
    <sheetView workbookViewId="0" showGridLines="0" zoomScale="100"/>
  </sheetViews>
  <sheetFormatPr defaultRowHeight="15" outlineLevelRow="0" outlineLevelCol="0" x14ac:dyDescent="55"/>
  <cols>
    <col min="1" max="1" width="3" customWidth="1"/>
    <col min="2" max="2" width="26" customWidth="1"/>
    <col min="3" max="3" width="14" customWidth="1"/>
    <col min="4" max="4" width="20" customWidth="1"/>
    <col min="5" max="5" width="12" customWidth="1"/>
    <col min="6" max="6" width="13" customWidth="1"/>
    <col min="7" max="7" width="11" customWidth="1"/>
    <col min="8" max="8" width="12" customWidth="1"/>
    <col min="9" max="9" width="24" customWidth="1"/>
  </cols>
  <sheetData>
    <row r="1" ht="14" customHeight="1" spans="1:10" x14ac:dyDescent="0.25">
      <c r="A1" s="1"/>
      <c r="B1" s="1"/>
      <c r="C1" s="1"/>
      <c r="D1" s="1"/>
      <c r="E1" s="1"/>
      <c r="F1" s="1"/>
      <c r="G1" s="1"/>
      <c r="H1" s="1"/>
      <c r="I1" s="1"/>
      <c r="J1" s="1"/>
    </row>
    <row r="2" ht="38" customHeight="1" spans="1:10" x14ac:dyDescent="0.25">
      <c r="A2" s="1"/>
      <c r="B2" s="34" t="s">
        <v>545</v>
      </c>
      <c r="C2" s="34"/>
      <c r="D2" s="34"/>
      <c r="E2" s="34"/>
      <c r="F2" s="34"/>
      <c r="G2" s="34"/>
      <c r="H2" s="34"/>
      <c r="I2" s="1"/>
      <c r="J2" s="1"/>
    </row>
    <row r="3" ht="18" customHeight="1" spans="1:10" x14ac:dyDescent="0.25">
      <c r="A3" s="1"/>
      <c r="B3" s="35" t="s">
        <v>546</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547</v>
      </c>
      <c r="C5" s="49" t="s">
        <v>404</v>
      </c>
      <c r="D5" s="51" t="s">
        <v>548</v>
      </c>
      <c r="E5" s="51" t="s">
        <v>324</v>
      </c>
      <c r="F5" s="51" t="s">
        <v>180</v>
      </c>
      <c r="G5" s="51" t="s">
        <v>549</v>
      </c>
      <c r="H5" s="50" t="s">
        <v>480</v>
      </c>
      <c r="I5" s="49" t="s">
        <v>91</v>
      </c>
      <c r="J5" s="1"/>
    </row>
    <row r="6" ht="19" customHeight="1" spans="1:10" x14ac:dyDescent="0.25">
      <c r="A6" s="1"/>
      <c r="B6" s="52" t="s">
        <v>550</v>
      </c>
      <c r="C6" s="53" t="s">
        <v>47</v>
      </c>
      <c r="D6" s="56" t="s">
        <v>551</v>
      </c>
      <c r="E6" s="56">
        <v>90</v>
      </c>
      <c r="F6" s="98">
        <f>IF(B6="","",INT(Setup!$C$7)-E6)</f>
      </c>
      <c r="G6" s="56" t="s">
        <v>93</v>
      </c>
      <c r="H6" s="54">
        <v>120</v>
      </c>
      <c r="I6" s="53"/>
      <c r="J6" s="1"/>
    </row>
    <row r="7" ht="19" customHeight="1" spans="1:10" x14ac:dyDescent="0.25">
      <c r="A7" s="1"/>
      <c r="B7" s="52" t="s">
        <v>552</v>
      </c>
      <c r="C7" s="53" t="s">
        <v>47</v>
      </c>
      <c r="D7" s="56" t="s">
        <v>553</v>
      </c>
      <c r="E7" s="56">
        <v>90</v>
      </c>
      <c r="F7" s="99">
        <f>IF(B7="","",INT(Setup!$C$7)-E7)</f>
      </c>
      <c r="G7" s="56" t="s">
        <v>93</v>
      </c>
      <c r="H7" s="54">
        <v>90</v>
      </c>
      <c r="I7" s="53"/>
      <c r="J7" s="1"/>
    </row>
    <row r="8" ht="19" customHeight="1" spans="1:10" x14ac:dyDescent="0.25">
      <c r="A8" s="1"/>
      <c r="B8" s="52" t="s">
        <v>554</v>
      </c>
      <c r="C8" s="53" t="s">
        <v>47</v>
      </c>
      <c r="D8" s="56" t="s">
        <v>555</v>
      </c>
      <c r="E8" s="56">
        <v>21</v>
      </c>
      <c r="F8" s="98">
        <f>IF(B8="","",INT(Setup!$C$7)-E8)</f>
      </c>
      <c r="G8" s="56" t="s">
        <v>93</v>
      </c>
      <c r="H8" s="54">
        <v>85</v>
      </c>
      <c r="I8" s="53"/>
      <c r="J8" s="1"/>
    </row>
    <row r="9" ht="19" customHeight="1" spans="1:10" x14ac:dyDescent="0.25">
      <c r="A9" s="1"/>
      <c r="B9" s="52" t="s">
        <v>556</v>
      </c>
      <c r="C9" s="53" t="s">
        <v>47</v>
      </c>
      <c r="D9" s="56" t="s">
        <v>557</v>
      </c>
      <c r="E9" s="56">
        <v>14</v>
      </c>
      <c r="F9" s="99">
        <f>IF(B9="","",INT(Setup!$C$7)-E9)</f>
      </c>
      <c r="G9" s="56" t="s">
        <v>93</v>
      </c>
      <c r="H9" s="54">
        <v>140</v>
      </c>
      <c r="I9" s="53"/>
      <c r="J9" s="1"/>
    </row>
    <row r="10" ht="19" customHeight="1" spans="1:10" x14ac:dyDescent="0.25">
      <c r="A10" s="1"/>
      <c r="B10" s="52" t="s">
        <v>558</v>
      </c>
      <c r="C10" s="53" t="s">
        <v>50</v>
      </c>
      <c r="D10" s="56" t="s">
        <v>559</v>
      </c>
      <c r="E10" s="56">
        <v>7</v>
      </c>
      <c r="F10" s="98">
        <f>IF(B10="","",INT(Setup!$C$7)-E10)</f>
      </c>
      <c r="G10" s="56" t="s">
        <v>93</v>
      </c>
      <c r="H10" s="54">
        <v>35</v>
      </c>
      <c r="I10" s="53"/>
      <c r="J10" s="1"/>
    </row>
    <row r="11" ht="19" customHeight="1" spans="1:10" x14ac:dyDescent="0.25">
      <c r="A11" s="1"/>
      <c r="B11" s="52" t="s">
        <v>560</v>
      </c>
      <c r="C11" s="53" t="s">
        <v>47</v>
      </c>
      <c r="D11" s="56" t="s">
        <v>561</v>
      </c>
      <c r="E11" s="56">
        <v>2</v>
      </c>
      <c r="F11" s="99">
        <f>IF(B11="","",INT(Setup!$C$7)-E11)</f>
      </c>
      <c r="G11" s="56" t="s">
        <v>93</v>
      </c>
      <c r="H11" s="54">
        <v>55</v>
      </c>
      <c r="I11" s="53"/>
      <c r="J11" s="1"/>
    </row>
    <row r="12" ht="19" customHeight="1" spans="1:10" x14ac:dyDescent="0.25">
      <c r="A12" s="1"/>
      <c r="B12" s="52" t="s">
        <v>562</v>
      </c>
      <c r="C12" s="53" t="s">
        <v>47</v>
      </c>
      <c r="D12" s="56" t="s">
        <v>563</v>
      </c>
      <c r="E12" s="56">
        <v>2</v>
      </c>
      <c r="F12" s="98">
        <f>IF(B12="","",INT(Setup!$C$7)-E12)</f>
      </c>
      <c r="G12" s="56" t="s">
        <v>93</v>
      </c>
      <c r="H12" s="54">
        <v>45</v>
      </c>
      <c r="I12" s="53"/>
      <c r="J12" s="1"/>
    </row>
    <row r="13" ht="19" customHeight="1" spans="1:10" x14ac:dyDescent="0.25">
      <c r="A13" s="1"/>
      <c r="B13" s="52" t="s">
        <v>564</v>
      </c>
      <c r="C13" s="53" t="s">
        <v>565</v>
      </c>
      <c r="D13" s="56" t="s">
        <v>566</v>
      </c>
      <c r="E13" s="56">
        <v>0</v>
      </c>
      <c r="F13" s="99">
        <f>IF(B13="","",INT(Setup!$C$7)-E13)</f>
      </c>
      <c r="G13" s="56" t="s">
        <v>93</v>
      </c>
      <c r="H13" s="54">
        <v>450</v>
      </c>
      <c r="I13" s="53"/>
      <c r="J13" s="1"/>
    </row>
    <row r="14" ht="19" customHeight="1" spans="1:10" x14ac:dyDescent="0.25">
      <c r="A14" s="1"/>
      <c r="B14" s="52"/>
      <c r="C14" s="53"/>
      <c r="D14" s="56"/>
      <c r="E14" s="56"/>
      <c r="F14" s="98">
        <f>IF(B14="","",INT(Setup!$C$7)-E14)</f>
      </c>
      <c r="G14" s="56"/>
      <c r="H14" s="54"/>
      <c r="I14" s="53"/>
      <c r="J14" s="1"/>
    </row>
    <row r="15" ht="19" customHeight="1" spans="1:10" x14ac:dyDescent="0.25">
      <c r="A15" s="1"/>
      <c r="B15" s="52"/>
      <c r="C15" s="53"/>
      <c r="D15" s="56"/>
      <c r="E15" s="56"/>
      <c r="F15" s="99">
        <f>IF(B15="","",INT(Setup!$C$7)-E15)</f>
      </c>
      <c r="G15" s="56"/>
      <c r="H15" s="54"/>
      <c r="I15" s="53"/>
      <c r="J15" s="1"/>
    </row>
    <row r="16" ht="19" customHeight="1" spans="1:10" x14ac:dyDescent="0.25">
      <c r="A16" s="1"/>
      <c r="B16" s="52"/>
      <c r="C16" s="53"/>
      <c r="D16" s="56"/>
      <c r="E16" s="56"/>
      <c r="F16" s="98">
        <f>IF(B16="","",INT(Setup!$C$7)-E16)</f>
      </c>
      <c r="G16" s="56"/>
      <c r="H16" s="54"/>
      <c r="I16" s="53"/>
      <c r="J16" s="1"/>
    </row>
    <row r="17" ht="19" customHeight="1" spans="1:10" x14ac:dyDescent="0.25">
      <c r="A17" s="1"/>
      <c r="B17" s="52"/>
      <c r="C17" s="53"/>
      <c r="D17" s="56"/>
      <c r="E17" s="56"/>
      <c r="F17" s="99">
        <f>IF(B17="","",INT(Setup!$C$7)-E17)</f>
      </c>
      <c r="G17" s="56"/>
      <c r="H17" s="54"/>
      <c r="I17" s="53"/>
      <c r="J17" s="1"/>
    </row>
    <row r="18" ht="19" customHeight="1" spans="1:10" x14ac:dyDescent="0.25">
      <c r="A18" s="1"/>
      <c r="B18" s="52"/>
      <c r="C18" s="53"/>
      <c r="D18" s="56"/>
      <c r="E18" s="56"/>
      <c r="F18" s="98">
        <f>IF(B18="","",INT(Setup!$C$7)-E18)</f>
      </c>
      <c r="G18" s="56"/>
      <c r="H18" s="54"/>
      <c r="I18" s="53"/>
      <c r="J18" s="1"/>
    </row>
    <row r="19" ht="19" customHeight="1" spans="1:10" x14ac:dyDescent="0.25">
      <c r="A19" s="1"/>
      <c r="B19" s="52"/>
      <c r="C19" s="53"/>
      <c r="D19" s="56"/>
      <c r="E19" s="56"/>
      <c r="F19" s="99">
        <f>IF(B19="","",INT(Setup!$C$7)-E19)</f>
      </c>
      <c r="G19" s="56"/>
      <c r="H19" s="54"/>
      <c r="I19" s="53"/>
      <c r="J19" s="1"/>
    </row>
    <row r="20" ht="19" customHeight="1" spans="1:10" x14ac:dyDescent="0.25">
      <c r="A20" s="1"/>
      <c r="B20" s="52"/>
      <c r="C20" s="53"/>
      <c r="D20" s="56"/>
      <c r="E20" s="56"/>
      <c r="F20" s="98">
        <f>IF(B20="","",INT(Setup!$C$7)-E20)</f>
      </c>
      <c r="G20" s="56"/>
      <c r="H20" s="54"/>
      <c r="I20" s="53"/>
      <c r="J20" s="1"/>
    </row>
    <row r="21" ht="19" customHeight="1" spans="1:10" x14ac:dyDescent="0.25">
      <c r="A21" s="1"/>
      <c r="B21" s="52"/>
      <c r="C21" s="53"/>
      <c r="D21" s="56"/>
      <c r="E21" s="56"/>
      <c r="F21" s="99">
        <f>IF(B21="","",INT(Setup!$C$7)-E21)</f>
      </c>
      <c r="G21" s="56"/>
      <c r="H21" s="54"/>
      <c r="I21" s="53"/>
      <c r="J21" s="1"/>
    </row>
    <row r="22" ht="19" customHeight="1" spans="1:10" x14ac:dyDescent="0.25">
      <c r="A22" s="1"/>
      <c r="B22" s="52"/>
      <c r="C22" s="53"/>
      <c r="D22" s="56"/>
      <c r="E22" s="56"/>
      <c r="F22" s="98">
        <f>IF(B22="","",INT(Setup!$C$7)-E22)</f>
      </c>
      <c r="G22" s="56"/>
      <c r="H22" s="54"/>
      <c r="I22" s="53"/>
      <c r="J22" s="1"/>
    </row>
    <row r="23" ht="19" customHeight="1" spans="1:10" x14ac:dyDescent="0.25">
      <c r="A23" s="1"/>
      <c r="B23" s="52"/>
      <c r="C23" s="53"/>
      <c r="D23" s="56"/>
      <c r="E23" s="56"/>
      <c r="F23" s="99">
        <f>IF(B23="","",INT(Setup!$C$7)-E23)</f>
      </c>
      <c r="G23" s="56"/>
      <c r="H23" s="54"/>
      <c r="I23" s="53"/>
      <c r="J23" s="1"/>
    </row>
    <row r="24" ht="24" customHeight="1" spans="1:10" x14ac:dyDescent="0.25">
      <c r="A24" s="1"/>
      <c r="B24" s="62" t="s">
        <v>567</v>
      </c>
      <c r="C24" s="63"/>
      <c r="D24" s="63"/>
      <c r="E24" s="63"/>
      <c r="F24" s="63"/>
      <c r="G24" s="63"/>
      <c r="H24" s="64">
        <f>SUM(H6:H23)</f>
      </c>
      <c r="I24" s="63"/>
      <c r="J24" s="1"/>
    </row>
    <row r="25" spans="1:10" x14ac:dyDescent="0.25">
      <c r="A25" s="1"/>
      <c r="B25" s="1"/>
      <c r="C25" s="1"/>
      <c r="D25" s="1"/>
      <c r="E25" s="1"/>
      <c r="F25" s="1"/>
      <c r="G25" s="1"/>
      <c r="H25" s="1"/>
      <c r="I25" s="1"/>
      <c r="J25" s="1"/>
    </row>
    <row r="26" ht="18" customHeight="1" spans="1:10" x14ac:dyDescent="0.25">
      <c r="A26" s="1"/>
      <c r="B26" s="48" t="s">
        <v>568</v>
      </c>
      <c r="C26" s="48"/>
      <c r="D26" s="48"/>
      <c r="E26" s="48"/>
      <c r="F26" s="48"/>
      <c r="G26" s="48"/>
      <c r="H26" s="48"/>
      <c r="I26" s="48"/>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3">
    <mergeCell ref="B2:H2"/>
    <mergeCell ref="B3:H3"/>
    <mergeCell ref="B26:I26"/>
  </mergeCells>
  <conditionalFormatting sqref="G6:G23">
    <cfRule type="expression" dxfId="116" priority="1">
      <formula>G6="Yes"</formula>
    </cfRule>
  </conditionalFormatting>
  <conditionalFormatting sqref="F6:F23">
    <cfRule type="expression" dxfId="117" priority="1">
      <formula>AND(F6&lt;&gt;"",$G6&lt;&gt;"Yes",F6-TODAY()&lt;=21,F6&gt;=TODAY())</formula>
    </cfRule>
  </conditionalFormatting>
  <dataValidations count="1">
    <dataValidation type="list" allowBlank="1" sqref="G6:G23">
      <formula1>"Yes,No"</formula1>
    </dataValidation>
  </dataValidations>
  <pageMargins left="0.4" right="0.4" top="0.5" bottom="0.5" header="0.2" footer="0.2"/>
  <pageSetup orientation="portrait" horizontalDpi="4294967295" verticalDpi="4294967295" scale="100" fitToWidth="1" fitToHeight="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J45"/>
  <sheetViews>
    <sheetView workbookViewId="0" showGridLines="0" zoomScale="100"/>
  </sheetViews>
  <sheetFormatPr defaultRowHeight="15" outlineLevelRow="0" outlineLevelCol="0" x14ac:dyDescent="55"/>
  <cols>
    <col min="1" max="1" width="3" customWidth="1"/>
    <col min="2" max="2" width="30" customWidth="1"/>
    <col min="3" max="3" width="34" customWidth="1"/>
    <col min="4" max="6" width="12"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740</v>
      </c>
      <c r="C2" s="34"/>
      <c r="D2" s="34"/>
      <c r="E2" s="34"/>
      <c r="F2" s="34"/>
      <c r="G2" s="34"/>
      <c r="H2" s="34"/>
      <c r="I2" s="1"/>
      <c r="J2" s="1"/>
    </row>
    <row r="3" ht="18" customHeight="1" spans="1:10" x14ac:dyDescent="0.25">
      <c r="A3" s="1"/>
      <c r="B3" s="35" t="s">
        <v>741</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521</v>
      </c>
      <c r="C5" s="49" t="s">
        <v>742</v>
      </c>
      <c r="D5" s="50" t="s">
        <v>617</v>
      </c>
      <c r="E5" s="51" t="s">
        <v>325</v>
      </c>
      <c r="F5" s="51" t="s">
        <v>743</v>
      </c>
      <c r="G5" s="49" t="s">
        <v>91</v>
      </c>
      <c r="H5" s="1"/>
      <c r="I5" s="1"/>
      <c r="J5" s="1"/>
    </row>
    <row r="6" ht="19" customHeight="1" spans="1:10" x14ac:dyDescent="0.25">
      <c r="A6" s="1"/>
      <c r="B6" s="52" t="s">
        <v>744</v>
      </c>
      <c r="C6" s="53" t="s">
        <v>745</v>
      </c>
      <c r="D6" s="54">
        <v>340</v>
      </c>
      <c r="E6" s="56" t="s">
        <v>331</v>
      </c>
      <c r="F6" s="56" t="s">
        <v>93</v>
      </c>
      <c r="G6" s="53"/>
      <c r="H6" s="1"/>
      <c r="I6" s="1"/>
      <c r="J6" s="1"/>
    </row>
    <row r="7" ht="19" customHeight="1" spans="1:10" x14ac:dyDescent="0.25">
      <c r="A7" s="1"/>
      <c r="B7" s="52" t="s">
        <v>746</v>
      </c>
      <c r="C7" s="53" t="s">
        <v>747</v>
      </c>
      <c r="D7" s="54">
        <v>280</v>
      </c>
      <c r="E7" s="56" t="s">
        <v>331</v>
      </c>
      <c r="F7" s="56" t="s">
        <v>93</v>
      </c>
      <c r="G7" s="53"/>
      <c r="H7" s="1"/>
      <c r="I7" s="1"/>
      <c r="J7" s="1"/>
    </row>
    <row r="8" ht="19" customHeight="1" spans="1:10" x14ac:dyDescent="0.25">
      <c r="A8" s="1"/>
      <c r="B8" s="52" t="s">
        <v>748</v>
      </c>
      <c r="C8" s="53" t="s">
        <v>749</v>
      </c>
      <c r="D8" s="54">
        <v>420</v>
      </c>
      <c r="E8" s="56" t="s">
        <v>339</v>
      </c>
      <c r="F8" s="56" t="s">
        <v>93</v>
      </c>
      <c r="G8" s="53"/>
      <c r="H8" s="1"/>
      <c r="I8" s="1"/>
      <c r="J8" s="1"/>
    </row>
    <row r="9" ht="19" customHeight="1" spans="1:10" x14ac:dyDescent="0.25">
      <c r="A9" s="1"/>
      <c r="B9" s="52" t="s">
        <v>750</v>
      </c>
      <c r="C9" s="53" t="s">
        <v>751</v>
      </c>
      <c r="D9" s="54">
        <v>210</v>
      </c>
      <c r="E9" s="56" t="s">
        <v>339</v>
      </c>
      <c r="F9" s="56" t="s">
        <v>93</v>
      </c>
      <c r="G9" s="53"/>
      <c r="H9" s="1"/>
      <c r="I9" s="1"/>
      <c r="J9" s="1"/>
    </row>
    <row r="10" ht="19" customHeight="1" spans="1:10" x14ac:dyDescent="0.25">
      <c r="A10" s="1"/>
      <c r="B10" s="52" t="s">
        <v>752</v>
      </c>
      <c r="C10" s="53" t="s">
        <v>753</v>
      </c>
      <c r="D10" s="54">
        <v>190</v>
      </c>
      <c r="E10" s="56" t="s">
        <v>345</v>
      </c>
      <c r="F10" s="56" t="s">
        <v>93</v>
      </c>
      <c r="G10" s="53"/>
      <c r="H10" s="1"/>
      <c r="I10" s="1"/>
      <c r="J10" s="1"/>
    </row>
    <row r="11" ht="19" customHeight="1" spans="1:10" x14ac:dyDescent="0.25">
      <c r="A11" s="1"/>
      <c r="B11" s="52" t="s">
        <v>754</v>
      </c>
      <c r="C11" s="53" t="s">
        <v>755</v>
      </c>
      <c r="D11" s="54">
        <v>0</v>
      </c>
      <c r="E11" s="56" t="s">
        <v>331</v>
      </c>
      <c r="F11" s="56" t="s">
        <v>93</v>
      </c>
      <c r="G11" s="53"/>
      <c r="H11" s="1"/>
      <c r="I11" s="1"/>
      <c r="J11" s="1"/>
    </row>
    <row r="12" ht="19" customHeight="1" spans="1:10" x14ac:dyDescent="0.25">
      <c r="A12" s="1"/>
      <c r="B12" s="52"/>
      <c r="C12" s="53"/>
      <c r="D12" s="54"/>
      <c r="E12" s="56"/>
      <c r="F12" s="56"/>
      <c r="G12" s="53"/>
      <c r="H12" s="1"/>
      <c r="I12" s="1"/>
      <c r="J12" s="1"/>
    </row>
    <row r="13" ht="19" customHeight="1" spans="1:10" x14ac:dyDescent="0.25">
      <c r="A13" s="1"/>
      <c r="B13" s="52"/>
      <c r="C13" s="53"/>
      <c r="D13" s="54"/>
      <c r="E13" s="56"/>
      <c r="F13" s="56"/>
      <c r="G13" s="53"/>
      <c r="H13" s="1"/>
      <c r="I13" s="1"/>
      <c r="J13" s="1"/>
    </row>
    <row r="14" ht="19" customHeight="1" spans="1:10" x14ac:dyDescent="0.25">
      <c r="A14" s="1"/>
      <c r="B14" s="52"/>
      <c r="C14" s="53"/>
      <c r="D14" s="54"/>
      <c r="E14" s="56"/>
      <c r="F14" s="56"/>
      <c r="G14" s="53"/>
      <c r="H14" s="1"/>
      <c r="I14" s="1"/>
      <c r="J14" s="1"/>
    </row>
    <row r="15" ht="19" customHeight="1" spans="1:10" x14ac:dyDescent="0.25">
      <c r="A15" s="1"/>
      <c r="B15" s="52"/>
      <c r="C15" s="53"/>
      <c r="D15" s="54"/>
      <c r="E15" s="56"/>
      <c r="F15" s="56"/>
      <c r="G15" s="53"/>
      <c r="H15" s="1"/>
      <c r="I15" s="1"/>
      <c r="J15" s="1"/>
    </row>
    <row r="16" ht="19" customHeight="1" spans="1:10" x14ac:dyDescent="0.25">
      <c r="A16" s="1"/>
      <c r="B16" s="52"/>
      <c r="C16" s="53"/>
      <c r="D16" s="54"/>
      <c r="E16" s="56"/>
      <c r="F16" s="56"/>
      <c r="G16" s="53"/>
      <c r="H16" s="1"/>
      <c r="I16" s="1"/>
      <c r="J16" s="1"/>
    </row>
    <row r="17" ht="19" customHeight="1" spans="1:10" x14ac:dyDescent="0.25">
      <c r="A17" s="1"/>
      <c r="B17" s="52"/>
      <c r="C17" s="53"/>
      <c r="D17" s="54"/>
      <c r="E17" s="56"/>
      <c r="F17" s="56"/>
      <c r="G17" s="53"/>
      <c r="H17" s="1"/>
      <c r="I17" s="1"/>
      <c r="J17" s="1"/>
    </row>
    <row r="18" ht="19" customHeight="1" spans="1:10" x14ac:dyDescent="0.25">
      <c r="A18" s="1"/>
      <c r="B18" s="52"/>
      <c r="C18" s="53"/>
      <c r="D18" s="54"/>
      <c r="E18" s="56"/>
      <c r="F18" s="56"/>
      <c r="G18" s="53"/>
      <c r="H18" s="1"/>
      <c r="I18" s="1"/>
      <c r="J18" s="1"/>
    </row>
    <row r="19" ht="19" customHeight="1" spans="1:10" x14ac:dyDescent="0.25">
      <c r="A19" s="1"/>
      <c r="B19" s="52"/>
      <c r="C19" s="53"/>
      <c r="D19" s="54"/>
      <c r="E19" s="56"/>
      <c r="F19" s="56"/>
      <c r="G19" s="53"/>
      <c r="H19" s="1"/>
      <c r="I19" s="1"/>
      <c r="J19" s="1"/>
    </row>
    <row r="20" ht="19" customHeight="1" spans="1:10" x14ac:dyDescent="0.25">
      <c r="A20" s="1"/>
      <c r="B20" s="52"/>
      <c r="C20" s="53"/>
      <c r="D20" s="54"/>
      <c r="E20" s="56"/>
      <c r="F20" s="56"/>
      <c r="G20" s="53"/>
      <c r="H20" s="1"/>
      <c r="I20" s="1"/>
      <c r="J20" s="1"/>
    </row>
    <row r="21" ht="19" customHeight="1" spans="1:10" x14ac:dyDescent="0.25">
      <c r="A21" s="1"/>
      <c r="B21" s="52"/>
      <c r="C21" s="53"/>
      <c r="D21" s="54"/>
      <c r="E21" s="56"/>
      <c r="F21" s="56"/>
      <c r="G21" s="53"/>
      <c r="H21" s="1"/>
      <c r="I21" s="1"/>
      <c r="J21" s="1"/>
    </row>
    <row r="22" ht="19" customHeight="1" spans="1:10" x14ac:dyDescent="0.25">
      <c r="A22" s="1"/>
      <c r="B22" s="52"/>
      <c r="C22" s="53"/>
      <c r="D22" s="54"/>
      <c r="E22" s="56"/>
      <c r="F22" s="56"/>
      <c r="G22" s="53"/>
      <c r="H22" s="1"/>
      <c r="I22" s="1"/>
      <c r="J22" s="1"/>
    </row>
    <row r="23" ht="19" customHeight="1" spans="1:10" x14ac:dyDescent="0.25">
      <c r="A23" s="1"/>
      <c r="B23" s="52"/>
      <c r="C23" s="53"/>
      <c r="D23" s="54"/>
      <c r="E23" s="56"/>
      <c r="F23" s="56"/>
      <c r="G23" s="53"/>
      <c r="H23" s="1"/>
      <c r="I23" s="1"/>
      <c r="J23" s="1"/>
    </row>
    <row r="24" ht="19" customHeight="1" spans="1:10" x14ac:dyDescent="0.25">
      <c r="A24" s="1"/>
      <c r="B24" s="52"/>
      <c r="C24" s="53"/>
      <c r="D24" s="54"/>
      <c r="E24" s="56"/>
      <c r="F24" s="56"/>
      <c r="G24" s="53"/>
      <c r="H24" s="1"/>
      <c r="I24" s="1"/>
      <c r="J24" s="1"/>
    </row>
    <row r="25" ht="19" customHeight="1" spans="1:10" x14ac:dyDescent="0.25">
      <c r="A25" s="1"/>
      <c r="B25" s="52"/>
      <c r="C25" s="53"/>
      <c r="D25" s="54"/>
      <c r="E25" s="56"/>
      <c r="F25" s="56"/>
      <c r="G25" s="53"/>
      <c r="H25" s="1"/>
      <c r="I25" s="1"/>
      <c r="J25" s="1"/>
    </row>
    <row r="26" ht="19" customHeight="1" spans="1:10" x14ac:dyDescent="0.25">
      <c r="A26" s="1"/>
      <c r="B26" s="52"/>
      <c r="C26" s="53"/>
      <c r="D26" s="54"/>
      <c r="E26" s="56"/>
      <c r="F26" s="56"/>
      <c r="G26" s="53"/>
      <c r="H26" s="1"/>
      <c r="I26" s="1"/>
      <c r="J26" s="1"/>
    </row>
    <row r="27" ht="19" customHeight="1" spans="1:10" x14ac:dyDescent="0.25">
      <c r="A27" s="1"/>
      <c r="B27" s="52"/>
      <c r="C27" s="53"/>
      <c r="D27" s="54"/>
      <c r="E27" s="56"/>
      <c r="F27" s="56"/>
      <c r="G27" s="53"/>
      <c r="H27" s="1"/>
      <c r="I27" s="1"/>
      <c r="J27" s="1"/>
    </row>
    <row r="28" ht="19" customHeight="1" spans="1:10" x14ac:dyDescent="0.25">
      <c r="A28" s="1"/>
      <c r="B28" s="52"/>
      <c r="C28" s="53"/>
      <c r="D28" s="54"/>
      <c r="E28" s="56"/>
      <c r="F28" s="56"/>
      <c r="G28" s="53"/>
      <c r="H28" s="1"/>
      <c r="I28" s="1"/>
      <c r="J28" s="1"/>
    </row>
    <row r="29" ht="19" customHeight="1" spans="1:10" x14ac:dyDescent="0.25">
      <c r="A29" s="1"/>
      <c r="B29" s="52"/>
      <c r="C29" s="53"/>
      <c r="D29" s="54"/>
      <c r="E29" s="56"/>
      <c r="F29" s="56"/>
      <c r="G29" s="53"/>
      <c r="H29" s="1"/>
      <c r="I29" s="1"/>
      <c r="J29" s="1"/>
    </row>
    <row r="30" ht="19" customHeight="1" spans="1:10" x14ac:dyDescent="0.25">
      <c r="A30" s="1"/>
      <c r="B30" s="52"/>
      <c r="C30" s="53"/>
      <c r="D30" s="54"/>
      <c r="E30" s="56"/>
      <c r="F30" s="56"/>
      <c r="G30" s="53"/>
      <c r="H30" s="1"/>
      <c r="I30" s="1"/>
      <c r="J30" s="1"/>
    </row>
    <row r="31" ht="19" customHeight="1" spans="1:10" x14ac:dyDescent="0.25">
      <c r="A31" s="1"/>
      <c r="B31" s="52"/>
      <c r="C31" s="53"/>
      <c r="D31" s="54"/>
      <c r="E31" s="56"/>
      <c r="F31" s="56"/>
      <c r="G31" s="53"/>
      <c r="H31" s="1"/>
      <c r="I31" s="1"/>
      <c r="J31" s="1"/>
    </row>
    <row r="32" ht="19" customHeight="1" spans="1:10" x14ac:dyDescent="0.25">
      <c r="A32" s="1"/>
      <c r="B32" s="52"/>
      <c r="C32" s="53"/>
      <c r="D32" s="54"/>
      <c r="E32" s="56"/>
      <c r="F32" s="56"/>
      <c r="G32" s="53"/>
      <c r="H32" s="1"/>
      <c r="I32" s="1"/>
      <c r="J32" s="1"/>
    </row>
    <row r="33" ht="19" customHeight="1" spans="1:10" x14ac:dyDescent="0.25">
      <c r="A33" s="1"/>
      <c r="B33" s="52"/>
      <c r="C33" s="53"/>
      <c r="D33" s="54"/>
      <c r="E33" s="56"/>
      <c r="F33" s="56"/>
      <c r="G33" s="53"/>
      <c r="H33" s="1"/>
      <c r="I33" s="1"/>
      <c r="J33" s="1"/>
    </row>
    <row r="34" ht="19" customHeight="1" spans="1:10" x14ac:dyDescent="0.25">
      <c r="A34" s="1"/>
      <c r="B34" s="52"/>
      <c r="C34" s="53"/>
      <c r="D34" s="54"/>
      <c r="E34" s="56"/>
      <c r="F34" s="56"/>
      <c r="G34" s="53"/>
      <c r="H34" s="1"/>
      <c r="I34" s="1"/>
      <c r="J34" s="1"/>
    </row>
    <row r="35" ht="19" customHeight="1" spans="1:10" x14ac:dyDescent="0.25">
      <c r="A35" s="1"/>
      <c r="B35" s="52"/>
      <c r="C35" s="53"/>
      <c r="D35" s="54"/>
      <c r="E35" s="56"/>
      <c r="F35" s="56"/>
      <c r="G35" s="53"/>
      <c r="H35" s="1"/>
      <c r="I35" s="1"/>
      <c r="J35" s="1"/>
    </row>
    <row r="36" ht="24" customHeight="1" spans="1:10" x14ac:dyDescent="0.25">
      <c r="A36" s="1"/>
      <c r="B36" s="62" t="s">
        <v>756</v>
      </c>
      <c r="C36" s="63"/>
      <c r="D36" s="64">
        <f>SUM(D6:D35)</f>
      </c>
      <c r="E36" s="63"/>
      <c r="F36" s="63"/>
      <c r="G36" s="63"/>
      <c r="H36" s="1"/>
      <c r="I36" s="1"/>
      <c r="J36" s="1"/>
    </row>
    <row r="37" spans="1:10" x14ac:dyDescent="0.25">
      <c r="A37" s="1"/>
      <c r="B37" s="1"/>
      <c r="C37" s="1"/>
      <c r="D37" s="1"/>
      <c r="E37" s="1"/>
      <c r="F37" s="1"/>
      <c r="G37" s="1"/>
      <c r="H37" s="1"/>
      <c r="I37" s="1"/>
      <c r="J37" s="1"/>
    </row>
    <row r="38" ht="18" customHeight="1" spans="1:10" x14ac:dyDescent="0.25">
      <c r="A38" s="1"/>
      <c r="B38" s="48" t="s">
        <v>757</v>
      </c>
      <c r="C38" s="48"/>
      <c r="D38" s="48"/>
      <c r="E38" s="48"/>
      <c r="F38" s="48"/>
      <c r="G38" s="48"/>
      <c r="H38" s="48"/>
      <c r="I38" s="48"/>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8:I38"/>
  </mergeCells>
  <conditionalFormatting sqref="F6:F35">
    <cfRule type="expression" dxfId="130" priority="1">
      <formula>F6="Yes"</formula>
    </cfRule>
  </conditionalFormatting>
  <dataValidations count="2">
    <dataValidation type="list" allowBlank="1" sqref="E6:E35">
      <formula1>"High,Medium,Low"</formula1>
    </dataValidation>
    <dataValidation type="list" allowBlank="1" sqref="F6:F35">
      <formula1>"Yes,No"</formula1>
    </dataValidation>
  </dataValidations>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1:J43"/>
  <sheetViews>
    <sheetView workbookViewId="0" showGridLines="0" zoomScale="100"/>
  </sheetViews>
  <sheetFormatPr defaultRowHeight="15" outlineLevelRow="0" outlineLevelCol="0" x14ac:dyDescent="55"/>
  <cols>
    <col min="1" max="1" width="3" customWidth="1"/>
    <col min="2" max="2" width="24" customWidth="1"/>
    <col min="3" max="3" width="20" customWidth="1"/>
    <col min="4" max="5" width="11" customWidth="1"/>
    <col min="6" max="6" width="18"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727</v>
      </c>
      <c r="C2" s="34"/>
      <c r="D2" s="34"/>
      <c r="E2" s="34"/>
      <c r="F2" s="34"/>
      <c r="G2" s="34"/>
      <c r="H2" s="34"/>
      <c r="I2" s="1"/>
      <c r="J2" s="1"/>
    </row>
    <row r="3" ht="18" customHeight="1" spans="1:10" x14ac:dyDescent="0.25">
      <c r="A3" s="1"/>
      <c r="B3" s="35" t="s">
        <v>728</v>
      </c>
      <c r="C3" s="35"/>
      <c r="D3" s="35"/>
      <c r="E3" s="35"/>
      <c r="F3" s="35"/>
      <c r="G3" s="35"/>
      <c r="H3" s="35"/>
      <c r="I3" s="1"/>
      <c r="J3" s="1"/>
    </row>
    <row r="4" ht="10" customHeight="1" spans="1:10" x14ac:dyDescent="0.25">
      <c r="A4" s="1"/>
      <c r="B4" s="36"/>
      <c r="C4" s="36"/>
      <c r="D4" s="36"/>
      <c r="E4" s="36"/>
      <c r="F4" s="36"/>
      <c r="G4" s="36"/>
      <c r="H4" s="36"/>
      <c r="I4" s="1"/>
      <c r="J4" s="1"/>
    </row>
    <row r="5" ht="24" customHeight="1" spans="1:10" x14ac:dyDescent="0.25">
      <c r="A5" s="1"/>
      <c r="B5" s="39" t="s">
        <v>59</v>
      </c>
      <c r="C5" s="40" t="s">
        <v>729</v>
      </c>
      <c r="D5" s="1"/>
      <c r="E5" s="41" t="s">
        <v>730</v>
      </c>
      <c r="F5" s="1"/>
      <c r="G5" s="1"/>
      <c r="H5" s="1"/>
      <c r="I5" s="1"/>
      <c r="J5" s="1"/>
    </row>
    <row r="6" ht="24" customHeight="1" spans="1:10" x14ac:dyDescent="0.25">
      <c r="A6" s="1"/>
      <c r="B6" s="39" t="s">
        <v>180</v>
      </c>
      <c r="C6" s="42">
        <v>46518</v>
      </c>
      <c r="D6" s="1"/>
      <c r="E6" s="41" t="s">
        <v>731</v>
      </c>
      <c r="F6" s="1"/>
      <c r="G6" s="1"/>
      <c r="H6" s="1"/>
      <c r="I6" s="1"/>
      <c r="J6" s="1"/>
    </row>
    <row r="7" ht="24" customHeight="1" spans="1:10" x14ac:dyDescent="0.25">
      <c r="A7" s="1"/>
      <c r="B7" s="39" t="s">
        <v>402</v>
      </c>
      <c r="C7" s="40" t="s">
        <v>732</v>
      </c>
      <c r="D7" s="1"/>
      <c r="E7" s="1"/>
      <c r="F7" s="1"/>
      <c r="G7" s="1"/>
      <c r="H7" s="1"/>
      <c r="I7" s="1"/>
      <c r="J7" s="1"/>
    </row>
    <row r="8" ht="24" customHeight="1" spans="1:10" x14ac:dyDescent="0.25">
      <c r="A8" s="1"/>
      <c r="B8" s="39" t="s">
        <v>733</v>
      </c>
      <c r="C8" s="43">
        <v>1800</v>
      </c>
      <c r="D8" s="1"/>
      <c r="E8" s="41" t="s">
        <v>734</v>
      </c>
      <c r="F8" s="1"/>
      <c r="G8" s="1"/>
      <c r="H8" s="1"/>
      <c r="I8" s="1"/>
      <c r="J8" s="1"/>
    </row>
    <row r="9" spans="1:10" x14ac:dyDescent="0.25">
      <c r="A9" s="1"/>
      <c r="B9" s="1"/>
      <c r="C9" s="1"/>
      <c r="D9" s="1"/>
      <c r="E9" s="1"/>
      <c r="F9" s="1"/>
      <c r="G9" s="1"/>
      <c r="H9" s="1"/>
      <c r="I9" s="1"/>
      <c r="J9" s="1"/>
    </row>
    <row r="10" spans="1:10" x14ac:dyDescent="0.25">
      <c r="A10" s="1"/>
      <c r="B10" s="1"/>
      <c r="C10" s="1"/>
      <c r="D10" s="1"/>
      <c r="E10" s="1"/>
      <c r="F10" s="1"/>
      <c r="G10" s="1"/>
      <c r="H10" s="1"/>
      <c r="I10" s="1"/>
      <c r="J10" s="1"/>
    </row>
    <row r="11" ht="28" customHeight="1" spans="1:10" x14ac:dyDescent="0.25">
      <c r="A11" s="1"/>
      <c r="B11" s="49" t="s">
        <v>258</v>
      </c>
      <c r="C11" s="49" t="s">
        <v>735</v>
      </c>
      <c r="D11" s="51" t="s">
        <v>736</v>
      </c>
      <c r="E11" s="51" t="s">
        <v>737</v>
      </c>
      <c r="F11" s="49" t="s">
        <v>738</v>
      </c>
      <c r="G11" s="49" t="s">
        <v>91</v>
      </c>
      <c r="H11" s="1"/>
      <c r="I11" s="1"/>
      <c r="J11" s="1"/>
    </row>
    <row r="12" ht="19" customHeight="1" spans="1:10" x14ac:dyDescent="0.25">
      <c r="A12" s="1"/>
      <c r="B12" s="52" t="s">
        <v>250</v>
      </c>
      <c r="C12" s="53" t="s">
        <v>739</v>
      </c>
      <c r="D12" s="56" t="s">
        <v>96</v>
      </c>
      <c r="E12" s="56" t="s">
        <v>96</v>
      </c>
      <c r="F12" s="53"/>
      <c r="G12" s="53"/>
      <c r="H12" s="1"/>
      <c r="I12" s="1"/>
      <c r="J12" s="1"/>
    </row>
    <row r="13" ht="19" customHeight="1" spans="1:10" x14ac:dyDescent="0.25">
      <c r="A13" s="1"/>
      <c r="B13" s="52" t="s">
        <v>256</v>
      </c>
      <c r="C13" s="53" t="s">
        <v>739</v>
      </c>
      <c r="D13" s="56" t="s">
        <v>96</v>
      </c>
      <c r="E13" s="56" t="s">
        <v>96</v>
      </c>
      <c r="F13" s="53"/>
      <c r="G13" s="53"/>
      <c r="H13" s="1"/>
      <c r="I13" s="1"/>
      <c r="J13" s="1"/>
    </row>
    <row r="14" ht="19" customHeight="1" spans="1:10" x14ac:dyDescent="0.25">
      <c r="A14" s="1"/>
      <c r="B14" s="52" t="s">
        <v>253</v>
      </c>
      <c r="C14" s="53" t="s">
        <v>688</v>
      </c>
      <c r="D14" s="56" t="s">
        <v>96</v>
      </c>
      <c r="E14" s="56" t="s">
        <v>96</v>
      </c>
      <c r="F14" s="53" t="s">
        <v>255</v>
      </c>
      <c r="G14" s="53"/>
      <c r="H14" s="1"/>
      <c r="I14" s="1"/>
      <c r="J14" s="1"/>
    </row>
    <row r="15" ht="19" customHeight="1" spans="1:10" x14ac:dyDescent="0.25">
      <c r="A15" s="1"/>
      <c r="B15" s="52" t="s">
        <v>264</v>
      </c>
      <c r="C15" s="53" t="s">
        <v>687</v>
      </c>
      <c r="D15" s="56" t="s">
        <v>96</v>
      </c>
      <c r="E15" s="56" t="s">
        <v>96</v>
      </c>
      <c r="F15" s="53"/>
      <c r="G15" s="53"/>
      <c r="H15" s="1"/>
      <c r="I15" s="1"/>
      <c r="J15" s="1"/>
    </row>
    <row r="16" ht="19" customHeight="1" spans="1:10" x14ac:dyDescent="0.25">
      <c r="A16" s="1"/>
      <c r="B16" s="52" t="s">
        <v>107</v>
      </c>
      <c r="C16" s="53" t="s">
        <v>108</v>
      </c>
      <c r="D16" s="56" t="s">
        <v>96</v>
      </c>
      <c r="E16" s="56" t="s">
        <v>93</v>
      </c>
      <c r="F16" s="53"/>
      <c r="G16" s="53"/>
      <c r="H16" s="1"/>
      <c r="I16" s="1"/>
      <c r="J16" s="1"/>
    </row>
    <row r="17" ht="19" customHeight="1" spans="1:10" x14ac:dyDescent="0.25">
      <c r="A17" s="1"/>
      <c r="B17" s="52"/>
      <c r="C17" s="53"/>
      <c r="D17" s="56"/>
      <c r="E17" s="56"/>
      <c r="F17" s="53"/>
      <c r="G17" s="53"/>
      <c r="H17" s="1"/>
      <c r="I17" s="1"/>
      <c r="J17" s="1"/>
    </row>
    <row r="18" ht="19" customHeight="1" spans="1:10" x14ac:dyDescent="0.25">
      <c r="A18" s="1"/>
      <c r="B18" s="52"/>
      <c r="C18" s="53"/>
      <c r="D18" s="56"/>
      <c r="E18" s="56"/>
      <c r="F18" s="53"/>
      <c r="G18" s="53"/>
      <c r="H18" s="1"/>
      <c r="I18" s="1"/>
      <c r="J18" s="1"/>
    </row>
    <row r="19" ht="19" customHeight="1" spans="1:10" x14ac:dyDescent="0.25">
      <c r="A19" s="1"/>
      <c r="B19" s="52"/>
      <c r="C19" s="53"/>
      <c r="D19" s="56"/>
      <c r="E19" s="56"/>
      <c r="F19" s="53"/>
      <c r="G19" s="53"/>
      <c r="H19" s="1"/>
      <c r="I19" s="1"/>
      <c r="J19" s="1"/>
    </row>
    <row r="20" ht="19" customHeight="1" spans="1:10" x14ac:dyDescent="0.25">
      <c r="A20" s="1"/>
      <c r="B20" s="52"/>
      <c r="C20" s="53"/>
      <c r="D20" s="56"/>
      <c r="E20" s="56"/>
      <c r="F20" s="53"/>
      <c r="G20" s="53"/>
      <c r="H20" s="1"/>
      <c r="I20" s="1"/>
      <c r="J20" s="1"/>
    </row>
    <row r="21" ht="19" customHeight="1" spans="1:10" x14ac:dyDescent="0.25">
      <c r="A21" s="1"/>
      <c r="B21" s="52"/>
      <c r="C21" s="53"/>
      <c r="D21" s="56"/>
      <c r="E21" s="56"/>
      <c r="F21" s="53"/>
      <c r="G21" s="53"/>
      <c r="H21" s="1"/>
      <c r="I21" s="1"/>
      <c r="J21" s="1"/>
    </row>
    <row r="22" ht="19" customHeight="1" spans="1:10" x14ac:dyDescent="0.25">
      <c r="A22" s="1"/>
      <c r="B22" s="52"/>
      <c r="C22" s="53"/>
      <c r="D22" s="56"/>
      <c r="E22" s="56"/>
      <c r="F22" s="53"/>
      <c r="G22" s="53"/>
      <c r="H22" s="1"/>
      <c r="I22" s="1"/>
      <c r="J22" s="1"/>
    </row>
    <row r="23" ht="19" customHeight="1" spans="1:10" x14ac:dyDescent="0.25">
      <c r="A23" s="1"/>
      <c r="B23" s="52"/>
      <c r="C23" s="53"/>
      <c r="D23" s="56"/>
      <c r="E23" s="56"/>
      <c r="F23" s="53"/>
      <c r="G23" s="53"/>
      <c r="H23" s="1"/>
      <c r="I23" s="1"/>
      <c r="J23" s="1"/>
    </row>
    <row r="24" ht="19" customHeight="1" spans="1:10" x14ac:dyDescent="0.25">
      <c r="A24" s="1"/>
      <c r="B24" s="52"/>
      <c r="C24" s="53"/>
      <c r="D24" s="56"/>
      <c r="E24" s="56"/>
      <c r="F24" s="53"/>
      <c r="G24" s="53"/>
      <c r="H24" s="1"/>
      <c r="I24" s="1"/>
      <c r="J24" s="1"/>
    </row>
    <row r="25" ht="19" customHeight="1" spans="1:10" x14ac:dyDescent="0.25">
      <c r="A25" s="1"/>
      <c r="B25" s="52"/>
      <c r="C25" s="53"/>
      <c r="D25" s="56"/>
      <c r="E25" s="56"/>
      <c r="F25" s="53"/>
      <c r="G25" s="53"/>
      <c r="H25" s="1"/>
      <c r="I25" s="1"/>
      <c r="J25" s="1"/>
    </row>
    <row r="26" ht="19" customHeight="1" spans="1:10" x14ac:dyDescent="0.25">
      <c r="A26" s="1"/>
      <c r="B26" s="52"/>
      <c r="C26" s="53"/>
      <c r="D26" s="56"/>
      <c r="E26" s="56"/>
      <c r="F26" s="53"/>
      <c r="G26" s="53"/>
      <c r="H26" s="1"/>
      <c r="I26" s="1"/>
      <c r="J26" s="1"/>
    </row>
    <row r="27" ht="19" customHeight="1" spans="1:10" x14ac:dyDescent="0.25">
      <c r="A27" s="1"/>
      <c r="B27" s="52"/>
      <c r="C27" s="53"/>
      <c r="D27" s="56"/>
      <c r="E27" s="56"/>
      <c r="F27" s="53"/>
      <c r="G27" s="53"/>
      <c r="H27" s="1"/>
      <c r="I27" s="1"/>
      <c r="J27" s="1"/>
    </row>
    <row r="28" ht="19" customHeight="1" spans="1:10" x14ac:dyDescent="0.25">
      <c r="A28" s="1"/>
      <c r="B28" s="52"/>
      <c r="C28" s="53"/>
      <c r="D28" s="56"/>
      <c r="E28" s="56"/>
      <c r="F28" s="53"/>
      <c r="G28" s="53"/>
      <c r="H28" s="1"/>
      <c r="I28" s="1"/>
      <c r="J28" s="1"/>
    </row>
    <row r="29" ht="19" customHeight="1" spans="1:10" x14ac:dyDescent="0.25">
      <c r="A29" s="1"/>
      <c r="B29" s="52"/>
      <c r="C29" s="53"/>
      <c r="D29" s="56"/>
      <c r="E29" s="56"/>
      <c r="F29" s="53"/>
      <c r="G29" s="53"/>
      <c r="H29" s="1"/>
      <c r="I29" s="1"/>
      <c r="J29" s="1"/>
    </row>
    <row r="30" ht="19" customHeight="1" spans="1:10" x14ac:dyDescent="0.25">
      <c r="A30" s="1"/>
      <c r="B30" s="52"/>
      <c r="C30" s="53"/>
      <c r="D30" s="56"/>
      <c r="E30" s="56"/>
      <c r="F30" s="53"/>
      <c r="G30" s="53"/>
      <c r="H30" s="1"/>
      <c r="I30" s="1"/>
      <c r="J30" s="1"/>
    </row>
    <row r="31" ht="19" customHeight="1" spans="1:10" x14ac:dyDescent="0.25">
      <c r="A31" s="1"/>
      <c r="B31" s="52"/>
      <c r="C31" s="53"/>
      <c r="D31" s="56"/>
      <c r="E31" s="56"/>
      <c r="F31" s="53"/>
      <c r="G31" s="53"/>
      <c r="H31" s="1"/>
      <c r="I31" s="1"/>
      <c r="J31" s="1"/>
    </row>
    <row r="32" ht="19" customHeight="1" spans="1:10" x14ac:dyDescent="0.25">
      <c r="A32" s="1"/>
      <c r="B32" s="52"/>
      <c r="C32" s="53"/>
      <c r="D32" s="56"/>
      <c r="E32" s="56"/>
      <c r="F32" s="53"/>
      <c r="G32" s="53"/>
      <c r="H32" s="1"/>
      <c r="I32" s="1"/>
      <c r="J32" s="1"/>
    </row>
    <row r="33" ht="19" customHeight="1" spans="1:10" x14ac:dyDescent="0.25">
      <c r="A33" s="1"/>
      <c r="B33" s="52"/>
      <c r="C33" s="53"/>
      <c r="D33" s="56"/>
      <c r="E33" s="56"/>
      <c r="F33" s="53"/>
      <c r="G33" s="53"/>
      <c r="H33" s="1"/>
      <c r="I33" s="1"/>
      <c r="J33" s="1"/>
    </row>
    <row r="34" ht="19" customHeight="1" spans="1:10" x14ac:dyDescent="0.25">
      <c r="A34" s="1"/>
      <c r="B34" s="52"/>
      <c r="C34" s="53"/>
      <c r="D34" s="56"/>
      <c r="E34" s="56"/>
      <c r="F34" s="53"/>
      <c r="G34" s="53"/>
      <c r="H34" s="1"/>
      <c r="I34" s="1"/>
      <c r="J34" s="1"/>
    </row>
    <row r="35" ht="19" customHeight="1" spans="1:10" x14ac:dyDescent="0.25">
      <c r="A35" s="1"/>
      <c r="B35" s="52"/>
      <c r="C35" s="53"/>
      <c r="D35" s="56"/>
      <c r="E35" s="56"/>
      <c r="F35" s="53"/>
      <c r="G35" s="53"/>
      <c r="H35" s="1"/>
      <c r="I35" s="1"/>
      <c r="J35" s="1"/>
    </row>
    <row r="36" ht="19" customHeight="1" spans="1:10" x14ac:dyDescent="0.25">
      <c r="A36" s="1"/>
      <c r="B36" s="52"/>
      <c r="C36" s="53"/>
      <c r="D36" s="56"/>
      <c r="E36" s="56"/>
      <c r="F36" s="53"/>
      <c r="G36" s="53"/>
      <c r="H36" s="1"/>
      <c r="I36" s="1"/>
      <c r="J36" s="1"/>
    </row>
    <row r="37" ht="19" customHeight="1" spans="1:10" x14ac:dyDescent="0.25">
      <c r="A37" s="1"/>
      <c r="B37" s="52"/>
      <c r="C37" s="53"/>
      <c r="D37" s="56"/>
      <c r="E37" s="56"/>
      <c r="F37" s="53"/>
      <c r="G37" s="53"/>
      <c r="H37" s="1"/>
      <c r="I37" s="1"/>
      <c r="J37" s="1"/>
    </row>
    <row r="38" ht="19" customHeight="1" spans="1:10" x14ac:dyDescent="0.25">
      <c r="A38" s="1"/>
      <c r="B38" s="52"/>
      <c r="C38" s="53"/>
      <c r="D38" s="56"/>
      <c r="E38" s="56"/>
      <c r="F38" s="53"/>
      <c r="G38" s="53"/>
      <c r="H38" s="1"/>
      <c r="I38" s="1"/>
      <c r="J38" s="1"/>
    </row>
    <row r="39" ht="19" customHeight="1" spans="1:10" x14ac:dyDescent="0.25">
      <c r="A39" s="1"/>
      <c r="B39" s="52"/>
      <c r="C39" s="53"/>
      <c r="D39" s="56"/>
      <c r="E39" s="56"/>
      <c r="F39" s="53"/>
      <c r="G39" s="53"/>
      <c r="H39" s="1"/>
      <c r="I39" s="1"/>
      <c r="J39" s="1"/>
    </row>
    <row r="40" ht="19" customHeight="1" spans="1:10" x14ac:dyDescent="0.25">
      <c r="A40" s="1"/>
      <c r="B40" s="52"/>
      <c r="C40" s="53"/>
      <c r="D40" s="56"/>
      <c r="E40" s="56"/>
      <c r="F40" s="53"/>
      <c r="G40" s="53"/>
      <c r="H40" s="1"/>
      <c r="I40" s="1"/>
      <c r="J40" s="1"/>
    </row>
    <row r="41" ht="19" customHeight="1" spans="2:7" x14ac:dyDescent="0.25">
      <c r="B41" s="52"/>
      <c r="C41" s="53"/>
      <c r="D41" s="56"/>
      <c r="E41" s="56"/>
      <c r="F41" s="53"/>
      <c r="G41" s="53"/>
    </row>
    <row r="43" spans="2:2" x14ac:dyDescent="0.25">
      <c r="B43" s="117">
        <f>"Coming: "&amp;COUNTIF(E12:E41,"Yes")&amp;"   ·   awaiting: "&amp;COUNTIF(E12:E41,"Pending")</f>
      </c>
    </row>
  </sheetData>
  <mergeCells count="2">
    <mergeCell ref="B2:H2"/>
    <mergeCell ref="B3:H3"/>
  </mergeCells>
  <conditionalFormatting sqref="E12:E41">
    <cfRule type="expression" dxfId="128" priority="1">
      <formula>E12="Yes"</formula>
    </cfRule>
  </conditionalFormatting>
  <conditionalFormatting sqref="E12:E41">
    <cfRule type="expression" dxfId="129" priority="1">
      <formula>E12="Pending"</formula>
    </cfRule>
  </conditionalFormatting>
  <dataValidations count="2">
    <dataValidation type="list" allowBlank="1" sqref="D12:D41">
      <formula1>"Yes,No"</formula1>
    </dataValidation>
    <dataValidation type="list" allowBlank="1" sqref="E12:E41">
      <formula1>"Yes,No,Pending"</formula1>
    </dataValidation>
  </dataValidations>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pageSetUpPr fitToPage="1"/>
  </sheetPr>
  <dimension ref="A1:J40"/>
  <sheetViews>
    <sheetView workbookViewId="0" showGridLines="0" zoomScale="100"/>
  </sheetViews>
  <sheetFormatPr defaultRowHeight="15" outlineLevelRow="0" outlineLevelCol="0" x14ac:dyDescent="55"/>
  <cols>
    <col min="1" max="1" width="3" customWidth="1"/>
    <col min="2" max="2" width="22" customWidth="1"/>
    <col min="3" max="3" width="18" customWidth="1"/>
    <col min="5" max="5" width="14" customWidth="1"/>
    <col min="6" max="6" width="11" customWidth="1"/>
    <col min="7" max="7" width="12" customWidth="1"/>
    <col min="8" max="8" width="30" customWidth="1"/>
  </cols>
  <sheetData>
    <row r="1" ht="14" customHeight="1" spans="1:10" x14ac:dyDescent="0.25">
      <c r="A1" s="1"/>
      <c r="B1" s="1"/>
      <c r="C1" s="1"/>
      <c r="D1" s="1"/>
      <c r="E1" s="1"/>
      <c r="F1" s="1"/>
      <c r="G1" s="1"/>
      <c r="H1" s="1"/>
      <c r="I1" s="1"/>
      <c r="J1" s="1"/>
    </row>
    <row r="2" ht="38" customHeight="1" spans="1:10" x14ac:dyDescent="0.25">
      <c r="A2" s="1"/>
      <c r="B2" s="34" t="s">
        <v>673</v>
      </c>
      <c r="C2" s="34"/>
      <c r="D2" s="34"/>
      <c r="E2" s="34"/>
      <c r="F2" s="34"/>
      <c r="G2" s="34"/>
      <c r="H2" s="34"/>
      <c r="I2" s="1"/>
      <c r="J2" s="1"/>
    </row>
    <row r="3" ht="18" customHeight="1" spans="1:10" x14ac:dyDescent="0.25">
      <c r="A3" s="1"/>
      <c r="B3" s="35" t="s">
        <v>674</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675</v>
      </c>
      <c r="C5" s="49" t="s">
        <v>242</v>
      </c>
      <c r="D5" s="51" t="s">
        <v>676</v>
      </c>
      <c r="E5" s="51" t="s">
        <v>677</v>
      </c>
      <c r="F5" s="51" t="s">
        <v>678</v>
      </c>
      <c r="G5" s="51" t="s">
        <v>679</v>
      </c>
      <c r="H5" s="49" t="s">
        <v>91</v>
      </c>
      <c r="I5" s="1"/>
      <c r="J5" s="1"/>
    </row>
    <row r="6" ht="19" customHeight="1" spans="1:10" x14ac:dyDescent="0.25">
      <c r="A6" s="1"/>
      <c r="B6" s="52" t="s">
        <v>47</v>
      </c>
      <c r="C6" s="53" t="s">
        <v>680</v>
      </c>
      <c r="D6" s="56">
        <v>1</v>
      </c>
      <c r="E6" s="56" t="s">
        <v>681</v>
      </c>
      <c r="F6" s="56" t="s">
        <v>93</v>
      </c>
      <c r="G6" s="56" t="s">
        <v>93</v>
      </c>
      <c r="H6" s="53"/>
      <c r="I6" s="1"/>
      <c r="J6" s="1"/>
    </row>
    <row r="7" ht="19" customHeight="1" spans="1:10" x14ac:dyDescent="0.25">
      <c r="A7" s="1"/>
      <c r="B7" s="52" t="s">
        <v>50</v>
      </c>
      <c r="C7" s="53" t="s">
        <v>682</v>
      </c>
      <c r="D7" s="56">
        <v>2</v>
      </c>
      <c r="E7" s="56" t="s">
        <v>681</v>
      </c>
      <c r="F7" s="56" t="s">
        <v>93</v>
      </c>
      <c r="G7" s="56" t="s">
        <v>93</v>
      </c>
      <c r="H7" s="53"/>
      <c r="I7" s="1"/>
      <c r="J7" s="1"/>
    </row>
    <row r="8" ht="19" customHeight="1" spans="1:10" x14ac:dyDescent="0.25">
      <c r="A8" s="1"/>
      <c r="B8" s="52" t="s">
        <v>683</v>
      </c>
      <c r="C8" s="53" t="s">
        <v>684</v>
      </c>
      <c r="D8" s="56">
        <v>3</v>
      </c>
      <c r="E8" s="56" t="s">
        <v>685</v>
      </c>
      <c r="F8" s="56" t="s">
        <v>93</v>
      </c>
      <c r="G8" s="56" t="s">
        <v>93</v>
      </c>
      <c r="H8" s="53"/>
      <c r="I8" s="1"/>
      <c r="J8" s="1"/>
    </row>
    <row r="9" ht="19" customHeight="1" spans="1:10" x14ac:dyDescent="0.25">
      <c r="A9" s="1"/>
      <c r="B9" s="52" t="s">
        <v>50</v>
      </c>
      <c r="C9" s="53" t="s">
        <v>686</v>
      </c>
      <c r="D9" s="56">
        <v>4</v>
      </c>
      <c r="E9" s="56" t="s">
        <v>685</v>
      </c>
      <c r="F9" s="56" t="s">
        <v>93</v>
      </c>
      <c r="G9" s="56" t="s">
        <v>93</v>
      </c>
      <c r="H9" s="53"/>
      <c r="I9" s="1"/>
      <c r="J9" s="1"/>
    </row>
    <row r="10" ht="19" customHeight="1" spans="1:10" x14ac:dyDescent="0.25">
      <c r="A10" s="1"/>
      <c r="B10" s="52" t="s">
        <v>264</v>
      </c>
      <c r="C10" s="53" t="s">
        <v>687</v>
      </c>
      <c r="D10" s="56">
        <v>5</v>
      </c>
      <c r="E10" s="56" t="s">
        <v>685</v>
      </c>
      <c r="F10" s="56" t="s">
        <v>93</v>
      </c>
      <c r="G10" s="56" t="s">
        <v>93</v>
      </c>
      <c r="H10" s="53"/>
      <c r="I10" s="1"/>
      <c r="J10" s="1"/>
    </row>
    <row r="11" ht="19" customHeight="1" spans="1:10" x14ac:dyDescent="0.25">
      <c r="A11" s="1"/>
      <c r="B11" s="52" t="s">
        <v>253</v>
      </c>
      <c r="C11" s="53" t="s">
        <v>688</v>
      </c>
      <c r="D11" s="56">
        <v>6</v>
      </c>
      <c r="E11" s="56" t="s">
        <v>689</v>
      </c>
      <c r="F11" s="56" t="s">
        <v>93</v>
      </c>
      <c r="G11" s="56" t="s">
        <v>93</v>
      </c>
      <c r="H11" s="53"/>
      <c r="I11" s="1"/>
      <c r="J11" s="1"/>
    </row>
    <row r="12" ht="19" customHeight="1" spans="1:10" x14ac:dyDescent="0.25">
      <c r="A12" s="1"/>
      <c r="B12" s="52"/>
      <c r="C12" s="53"/>
      <c r="D12" s="56"/>
      <c r="E12" s="56"/>
      <c r="F12" s="56"/>
      <c r="G12" s="56"/>
      <c r="H12" s="53"/>
      <c r="I12" s="1"/>
      <c r="J12" s="1"/>
    </row>
    <row r="13" ht="19" customHeight="1" spans="1:10" x14ac:dyDescent="0.25">
      <c r="A13" s="1"/>
      <c r="B13" s="52"/>
      <c r="C13" s="53"/>
      <c r="D13" s="56"/>
      <c r="E13" s="56"/>
      <c r="F13" s="56"/>
      <c r="G13" s="56"/>
      <c r="H13" s="53"/>
      <c r="I13" s="1"/>
      <c r="J13" s="1"/>
    </row>
    <row r="14" ht="19" customHeight="1" spans="1:10" x14ac:dyDescent="0.25">
      <c r="A14" s="1"/>
      <c r="B14" s="52"/>
      <c r="C14" s="53"/>
      <c r="D14" s="56"/>
      <c r="E14" s="56"/>
      <c r="F14" s="56"/>
      <c r="G14" s="56"/>
      <c r="H14" s="53"/>
      <c r="I14" s="1"/>
      <c r="J14" s="1"/>
    </row>
    <row r="15" ht="19" customHeight="1" spans="1:10" x14ac:dyDescent="0.25">
      <c r="A15" s="1"/>
      <c r="B15" s="52"/>
      <c r="C15" s="53"/>
      <c r="D15" s="56"/>
      <c r="E15" s="56"/>
      <c r="F15" s="56"/>
      <c r="G15" s="56"/>
      <c r="H15" s="53"/>
      <c r="I15" s="1"/>
      <c r="J15" s="1"/>
    </row>
    <row r="16" ht="19" customHeight="1" spans="1:10" x14ac:dyDescent="0.25">
      <c r="A16" s="1"/>
      <c r="B16" s="52"/>
      <c r="C16" s="53"/>
      <c r="D16" s="56"/>
      <c r="E16" s="56"/>
      <c r="F16" s="56"/>
      <c r="G16" s="56"/>
      <c r="H16" s="53"/>
      <c r="I16" s="1"/>
      <c r="J16" s="1"/>
    </row>
    <row r="17" ht="19" customHeight="1" spans="1:10" x14ac:dyDescent="0.25">
      <c r="A17" s="1"/>
      <c r="B17" s="52"/>
      <c r="C17" s="53"/>
      <c r="D17" s="56"/>
      <c r="E17" s="56"/>
      <c r="F17" s="56"/>
      <c r="G17" s="56"/>
      <c r="H17" s="53"/>
      <c r="I17" s="1"/>
      <c r="J17" s="1"/>
    </row>
    <row r="18" spans="1:10" x14ac:dyDescent="0.25">
      <c r="A18" s="1"/>
      <c r="B18" s="1"/>
      <c r="C18" s="1"/>
      <c r="D18" s="1"/>
      <c r="E18" s="1"/>
      <c r="F18" s="1"/>
      <c r="G18" s="1"/>
      <c r="H18" s="1"/>
      <c r="I18" s="1"/>
      <c r="J18" s="1"/>
    </row>
    <row r="19" ht="18" customHeight="1" spans="1:10" x14ac:dyDescent="0.25">
      <c r="A19" s="1"/>
      <c r="B19" s="48" t="s">
        <v>690</v>
      </c>
      <c r="C19" s="48"/>
      <c r="D19" s="48"/>
      <c r="E19" s="48"/>
      <c r="F19" s="48"/>
      <c r="G19" s="48"/>
      <c r="H19" s="48"/>
      <c r="I19" s="48"/>
      <c r="J19" s="1"/>
    </row>
    <row r="20" spans="1:10" x14ac:dyDescent="0.25">
      <c r="A20" s="1"/>
      <c r="B20" s="1"/>
      <c r="C20" s="1"/>
      <c r="D20" s="1"/>
      <c r="E20" s="1"/>
      <c r="F20" s="1"/>
      <c r="G20" s="1"/>
      <c r="H20" s="1"/>
      <c r="I20" s="1"/>
      <c r="J20" s="1"/>
    </row>
    <row r="21" spans="1:10" x14ac:dyDescent="0.25">
      <c r="A21" s="1"/>
      <c r="B21" s="1"/>
      <c r="C21" s="1"/>
      <c r="D21" s="1"/>
      <c r="E21" s="1"/>
      <c r="F21" s="1"/>
      <c r="G21" s="1"/>
      <c r="H21" s="1"/>
      <c r="I21" s="1"/>
      <c r="J21" s="1"/>
    </row>
    <row r="22" spans="1:10" x14ac:dyDescent="0.25">
      <c r="A22" s="1"/>
      <c r="B22" s="1"/>
      <c r="C22" s="1"/>
      <c r="D22" s="1"/>
      <c r="E22" s="1"/>
      <c r="F22" s="1"/>
      <c r="G22" s="1"/>
      <c r="H22" s="1"/>
      <c r="I22" s="1"/>
      <c r="J22" s="1"/>
    </row>
    <row r="23" spans="1:10" x14ac:dyDescent="0.25">
      <c r="A23" s="1"/>
      <c r="B23" s="1"/>
      <c r="C23" s="1"/>
      <c r="D23" s="1"/>
      <c r="E23" s="1"/>
      <c r="F23" s="1"/>
      <c r="G23" s="1"/>
      <c r="H23" s="1"/>
      <c r="I23" s="1"/>
      <c r="J23" s="1"/>
    </row>
    <row r="24" spans="1:10" x14ac:dyDescent="0.25">
      <c r="A24" s="1"/>
      <c r="B24" s="1"/>
      <c r="C24" s="1"/>
      <c r="D24" s="1"/>
      <c r="E24" s="1"/>
      <c r="F24" s="1"/>
      <c r="G24" s="1"/>
      <c r="H24" s="1"/>
      <c r="I24" s="1"/>
      <c r="J24" s="1"/>
    </row>
    <row r="25" spans="1:10" x14ac:dyDescent="0.25">
      <c r="A25" s="1"/>
      <c r="B25" s="1"/>
      <c r="C25" s="1"/>
      <c r="D25" s="1"/>
      <c r="E25" s="1"/>
      <c r="F25" s="1"/>
      <c r="G25" s="1"/>
      <c r="H25" s="1"/>
      <c r="I25" s="1"/>
      <c r="J25" s="1"/>
    </row>
    <row r="26" spans="1:10" x14ac:dyDescent="0.25">
      <c r="A26" s="1"/>
      <c r="B26" s="1"/>
      <c r="C26" s="1"/>
      <c r="D26" s="1"/>
      <c r="E26" s="1"/>
      <c r="F26" s="1"/>
      <c r="G26" s="1"/>
      <c r="H26" s="1"/>
      <c r="I26" s="1"/>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sheetData>
  <mergeCells count="3">
    <mergeCell ref="B2:H2"/>
    <mergeCell ref="B3:H3"/>
    <mergeCell ref="B19:I19"/>
  </mergeCells>
  <conditionalFormatting sqref="F6:F17">
    <cfRule type="expression" dxfId="125" priority="1">
      <formula>F6="Yes"</formula>
    </cfRule>
  </conditionalFormatting>
  <conditionalFormatting sqref="G6:G17">
    <cfRule type="expression" dxfId="126" priority="1">
      <formula>G6="Yes"</formula>
    </cfRule>
  </conditionalFormatting>
  <dataValidations count="2">
    <dataValidation type="list" allowBlank="1" sqref="F6:F17">
      <formula1>"Yes,No"</formula1>
    </dataValidation>
    <dataValidation type="list" allowBlank="1" sqref="G6:G17">
      <formula1>"Yes,No"</formula1>
    </dataValidation>
  </dataValidations>
  <pageMargins left="0.4" right="0.4" top="0.5" bottom="0.5" header="0.2" footer="0.2"/>
  <pageSetup orientation="portrait" horizontalDpi="4294967295" verticalDpi="4294967295" scale="100" fitToWidth="1" fitToHeight="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pageSetUpPr fitToPage="1"/>
  </sheetPr>
  <dimension ref="A1:J60"/>
  <sheetViews>
    <sheetView workbookViewId="0" showGridLines="0" zoomScale="100"/>
  </sheetViews>
  <sheetFormatPr defaultRowHeight="15" outlineLevelRow="0" outlineLevelCol="0" x14ac:dyDescent="55"/>
  <cols>
    <col min="1" max="1" width="3" customWidth="1"/>
    <col min="2" max="2" width="18" customWidth="1"/>
    <col min="3" max="3" width="34" customWidth="1"/>
    <col min="4" max="4" width="20" customWidth="1"/>
    <col min="5" max="5" width="11" customWidth="1"/>
  </cols>
  <sheetData>
    <row r="1" ht="14" customHeight="1" spans="1:10" x14ac:dyDescent="0.25">
      <c r="A1" s="1"/>
      <c r="B1" s="1"/>
      <c r="C1" s="1"/>
      <c r="D1" s="1"/>
      <c r="E1" s="1"/>
      <c r="F1" s="1"/>
      <c r="G1" s="1"/>
      <c r="H1" s="1"/>
      <c r="I1" s="1"/>
      <c r="J1" s="1"/>
    </row>
    <row r="2" ht="38" customHeight="1" spans="1:10" x14ac:dyDescent="0.25">
      <c r="A2" s="1"/>
      <c r="B2" s="34" t="s">
        <v>691</v>
      </c>
      <c r="C2" s="34"/>
      <c r="D2" s="34"/>
      <c r="E2" s="34"/>
      <c r="F2" s="34"/>
      <c r="G2" s="34"/>
      <c r="H2" s="34"/>
      <c r="I2" s="1"/>
      <c r="J2" s="1"/>
    </row>
    <row r="3" ht="18" customHeight="1" spans="1:10" x14ac:dyDescent="0.25">
      <c r="A3" s="1"/>
      <c r="B3" s="35" t="s">
        <v>692</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79</v>
      </c>
      <c r="C5" s="49" t="s">
        <v>521</v>
      </c>
      <c r="D5" s="49" t="s">
        <v>693</v>
      </c>
      <c r="E5" s="51" t="s">
        <v>694</v>
      </c>
      <c r="F5" s="1"/>
      <c r="G5" s="1"/>
      <c r="H5" s="1"/>
      <c r="I5" s="1"/>
      <c r="J5" s="1"/>
    </row>
    <row r="6" ht="19" customHeight="1" spans="1:10" x14ac:dyDescent="0.25">
      <c r="A6" s="1"/>
      <c r="B6" s="66" t="s">
        <v>695</v>
      </c>
      <c r="C6" s="67" t="s">
        <v>696</v>
      </c>
      <c r="D6" s="53"/>
      <c r="E6" s="56" t="s">
        <v>93</v>
      </c>
      <c r="F6" s="1"/>
      <c r="G6" s="1"/>
      <c r="H6" s="1"/>
      <c r="I6" s="1"/>
      <c r="J6" s="1"/>
    </row>
    <row r="7" ht="19" customHeight="1" spans="1:10" x14ac:dyDescent="0.25">
      <c r="A7" s="1"/>
      <c r="B7" s="68" t="s">
        <v>695</v>
      </c>
      <c r="C7" s="69" t="s">
        <v>697</v>
      </c>
      <c r="D7" s="53"/>
      <c r="E7" s="56" t="s">
        <v>93</v>
      </c>
      <c r="F7" s="1"/>
      <c r="G7" s="1"/>
      <c r="H7" s="1"/>
      <c r="I7" s="1"/>
      <c r="J7" s="1"/>
    </row>
    <row r="8" ht="19" customHeight="1" spans="1:10" x14ac:dyDescent="0.25">
      <c r="A8" s="1"/>
      <c r="B8" s="66" t="s">
        <v>695</v>
      </c>
      <c r="C8" s="67" t="s">
        <v>698</v>
      </c>
      <c r="D8" s="53"/>
      <c r="E8" s="56" t="s">
        <v>93</v>
      </c>
      <c r="F8" s="1"/>
      <c r="G8" s="1"/>
      <c r="H8" s="1"/>
      <c r="I8" s="1"/>
      <c r="J8" s="1"/>
    </row>
    <row r="9" ht="19" customHeight="1" spans="1:10" x14ac:dyDescent="0.25">
      <c r="A9" s="1"/>
      <c r="B9" s="68" t="s">
        <v>695</v>
      </c>
      <c r="C9" s="69" t="s">
        <v>699</v>
      </c>
      <c r="D9" s="53"/>
      <c r="E9" s="56" t="s">
        <v>93</v>
      </c>
      <c r="F9" s="1"/>
      <c r="G9" s="1"/>
      <c r="H9" s="1"/>
      <c r="I9" s="1"/>
      <c r="J9" s="1"/>
    </row>
    <row r="10" ht="19" customHeight="1" spans="1:10" x14ac:dyDescent="0.25">
      <c r="A10" s="1"/>
      <c r="B10" s="66" t="s">
        <v>695</v>
      </c>
      <c r="C10" s="67" t="s">
        <v>700</v>
      </c>
      <c r="D10" s="53"/>
      <c r="E10" s="56" t="s">
        <v>93</v>
      </c>
      <c r="F10" s="1"/>
      <c r="G10" s="1"/>
      <c r="H10" s="1"/>
      <c r="I10" s="1"/>
      <c r="J10" s="1"/>
    </row>
    <row r="11" ht="19" customHeight="1" spans="1:10" x14ac:dyDescent="0.25">
      <c r="A11" s="1"/>
      <c r="B11" s="68" t="s">
        <v>695</v>
      </c>
      <c r="C11" s="69" t="s">
        <v>701</v>
      </c>
      <c r="D11" s="53"/>
      <c r="E11" s="56" t="s">
        <v>93</v>
      </c>
      <c r="F11" s="1"/>
      <c r="G11" s="1"/>
      <c r="H11" s="1"/>
      <c r="I11" s="1"/>
      <c r="J11" s="1"/>
    </row>
    <row r="12" ht="19" customHeight="1" spans="1:10" x14ac:dyDescent="0.25">
      <c r="A12" s="1"/>
      <c r="B12" s="66" t="s">
        <v>702</v>
      </c>
      <c r="C12" s="67" t="s">
        <v>703</v>
      </c>
      <c r="D12" s="53"/>
      <c r="E12" s="56" t="s">
        <v>93</v>
      </c>
      <c r="F12" s="1"/>
      <c r="G12" s="1"/>
      <c r="H12" s="1"/>
      <c r="I12" s="1"/>
      <c r="J12" s="1"/>
    </row>
    <row r="13" ht="19" customHeight="1" spans="1:10" x14ac:dyDescent="0.25">
      <c r="A13" s="1"/>
      <c r="B13" s="68" t="s">
        <v>702</v>
      </c>
      <c r="C13" s="69" t="s">
        <v>704</v>
      </c>
      <c r="D13" s="53"/>
      <c r="E13" s="56" t="s">
        <v>93</v>
      </c>
      <c r="F13" s="1"/>
      <c r="G13" s="1"/>
      <c r="H13" s="1"/>
      <c r="I13" s="1"/>
      <c r="J13" s="1"/>
    </row>
    <row r="14" ht="19" customHeight="1" spans="1:10" x14ac:dyDescent="0.25">
      <c r="A14" s="1"/>
      <c r="B14" s="66" t="s">
        <v>702</v>
      </c>
      <c r="C14" s="67" t="s">
        <v>705</v>
      </c>
      <c r="D14" s="53"/>
      <c r="E14" s="56" t="s">
        <v>93</v>
      </c>
      <c r="F14" s="1"/>
      <c r="G14" s="1"/>
      <c r="H14" s="1"/>
      <c r="I14" s="1"/>
      <c r="J14" s="1"/>
    </row>
    <row r="15" ht="19" customHeight="1" spans="1:10" x14ac:dyDescent="0.25">
      <c r="A15" s="1"/>
      <c r="B15" s="68" t="s">
        <v>702</v>
      </c>
      <c r="C15" s="69" t="s">
        <v>706</v>
      </c>
      <c r="D15" s="53"/>
      <c r="E15" s="56" t="s">
        <v>93</v>
      </c>
      <c r="F15" s="1"/>
      <c r="G15" s="1"/>
      <c r="H15" s="1"/>
      <c r="I15" s="1"/>
      <c r="J15" s="1"/>
    </row>
    <row r="16" ht="19" customHeight="1" spans="1:10" x14ac:dyDescent="0.25">
      <c r="A16" s="1"/>
      <c r="B16" s="66" t="s">
        <v>702</v>
      </c>
      <c r="C16" s="67" t="s">
        <v>707</v>
      </c>
      <c r="D16" s="53"/>
      <c r="E16" s="56" t="s">
        <v>93</v>
      </c>
      <c r="F16" s="1"/>
      <c r="G16" s="1"/>
      <c r="H16" s="1"/>
      <c r="I16" s="1"/>
      <c r="J16" s="1"/>
    </row>
    <row r="17" ht="19" customHeight="1" spans="1:10" x14ac:dyDescent="0.25">
      <c r="A17" s="1"/>
      <c r="B17" s="68" t="s">
        <v>708</v>
      </c>
      <c r="C17" s="69" t="s">
        <v>709</v>
      </c>
      <c r="D17" s="53"/>
      <c r="E17" s="56" t="s">
        <v>93</v>
      </c>
      <c r="F17" s="1"/>
      <c r="G17" s="1"/>
      <c r="H17" s="1"/>
      <c r="I17" s="1"/>
      <c r="J17" s="1"/>
    </row>
    <row r="18" ht="19" customHeight="1" spans="1:10" x14ac:dyDescent="0.25">
      <c r="A18" s="1"/>
      <c r="B18" s="66" t="s">
        <v>708</v>
      </c>
      <c r="C18" s="67" t="s">
        <v>710</v>
      </c>
      <c r="D18" s="53"/>
      <c r="E18" s="56" t="s">
        <v>93</v>
      </c>
      <c r="F18" s="1"/>
      <c r="G18" s="1"/>
      <c r="H18" s="1"/>
      <c r="I18" s="1"/>
      <c r="J18" s="1"/>
    </row>
    <row r="19" ht="19" customHeight="1" spans="1:10" x14ac:dyDescent="0.25">
      <c r="A19" s="1"/>
      <c r="B19" s="68" t="s">
        <v>708</v>
      </c>
      <c r="C19" s="69" t="s">
        <v>711</v>
      </c>
      <c r="D19" s="53"/>
      <c r="E19" s="56" t="s">
        <v>93</v>
      </c>
      <c r="F19" s="1"/>
      <c r="G19" s="1"/>
      <c r="H19" s="1"/>
      <c r="I19" s="1"/>
      <c r="J19" s="1"/>
    </row>
    <row r="20" ht="19" customHeight="1" spans="1:10" x14ac:dyDescent="0.25">
      <c r="A20" s="1"/>
      <c r="B20" s="66" t="s">
        <v>708</v>
      </c>
      <c r="C20" s="67" t="s">
        <v>712</v>
      </c>
      <c r="D20" s="53"/>
      <c r="E20" s="56" t="s">
        <v>93</v>
      </c>
      <c r="F20" s="1"/>
      <c r="G20" s="1"/>
      <c r="H20" s="1"/>
      <c r="I20" s="1"/>
      <c r="J20" s="1"/>
    </row>
    <row r="21" ht="19" customHeight="1" spans="1:10" x14ac:dyDescent="0.25">
      <c r="A21" s="1"/>
      <c r="B21" s="68" t="s">
        <v>708</v>
      </c>
      <c r="C21" s="69" t="s">
        <v>713</v>
      </c>
      <c r="D21" s="53"/>
      <c r="E21" s="56" t="s">
        <v>93</v>
      </c>
      <c r="F21" s="1"/>
      <c r="G21" s="1"/>
      <c r="H21" s="1"/>
      <c r="I21" s="1"/>
      <c r="J21" s="1"/>
    </row>
    <row r="22" ht="19" customHeight="1" spans="1:10" x14ac:dyDescent="0.25">
      <c r="A22" s="1"/>
      <c r="B22" s="66" t="s">
        <v>708</v>
      </c>
      <c r="C22" s="67" t="s">
        <v>714</v>
      </c>
      <c r="D22" s="53"/>
      <c r="E22" s="56" t="s">
        <v>93</v>
      </c>
      <c r="F22" s="1"/>
      <c r="G22" s="1"/>
      <c r="H22" s="1"/>
      <c r="I22" s="1"/>
      <c r="J22" s="1"/>
    </row>
    <row r="23" ht="19" customHeight="1" spans="1:10" x14ac:dyDescent="0.25">
      <c r="A23" s="1"/>
      <c r="B23" s="68" t="s">
        <v>715</v>
      </c>
      <c r="C23" s="69" t="s">
        <v>716</v>
      </c>
      <c r="D23" s="53"/>
      <c r="E23" s="56" t="s">
        <v>93</v>
      </c>
      <c r="F23" s="1"/>
      <c r="G23" s="1"/>
      <c r="H23" s="1"/>
      <c r="I23" s="1"/>
      <c r="J23" s="1"/>
    </row>
    <row r="24" ht="19" customHeight="1" spans="1:10" x14ac:dyDescent="0.25">
      <c r="A24" s="1"/>
      <c r="B24" s="66" t="s">
        <v>715</v>
      </c>
      <c r="C24" s="67" t="s">
        <v>717</v>
      </c>
      <c r="D24" s="53"/>
      <c r="E24" s="56" t="s">
        <v>93</v>
      </c>
      <c r="F24" s="1"/>
      <c r="G24" s="1"/>
      <c r="H24" s="1"/>
      <c r="I24" s="1"/>
      <c r="J24" s="1"/>
    </row>
    <row r="25" ht="19" customHeight="1" spans="1:10" x14ac:dyDescent="0.25">
      <c r="A25" s="1"/>
      <c r="B25" s="68" t="s">
        <v>715</v>
      </c>
      <c r="C25" s="69" t="s">
        <v>718</v>
      </c>
      <c r="D25" s="53"/>
      <c r="E25" s="56" t="s">
        <v>93</v>
      </c>
      <c r="F25" s="1"/>
      <c r="G25" s="1"/>
      <c r="H25" s="1"/>
      <c r="I25" s="1"/>
      <c r="J25" s="1"/>
    </row>
    <row r="26" ht="19" customHeight="1" spans="1:10" x14ac:dyDescent="0.25">
      <c r="A26" s="1"/>
      <c r="B26" s="66" t="s">
        <v>715</v>
      </c>
      <c r="C26" s="67" t="s">
        <v>719</v>
      </c>
      <c r="D26" s="53"/>
      <c r="E26" s="56" t="s">
        <v>93</v>
      </c>
      <c r="F26" s="1"/>
      <c r="G26" s="1"/>
      <c r="H26" s="1"/>
      <c r="I26" s="1"/>
      <c r="J26" s="1"/>
    </row>
    <row r="27" ht="19" customHeight="1" spans="1:10" x14ac:dyDescent="0.25">
      <c r="A27" s="1"/>
      <c r="B27" s="68" t="s">
        <v>715</v>
      </c>
      <c r="C27" s="69" t="s">
        <v>720</v>
      </c>
      <c r="D27" s="53"/>
      <c r="E27" s="56" t="s">
        <v>93</v>
      </c>
      <c r="F27" s="1"/>
      <c r="G27" s="1"/>
      <c r="H27" s="1"/>
      <c r="I27" s="1"/>
      <c r="J27" s="1"/>
    </row>
    <row r="28" ht="19" customHeight="1" spans="1:10" x14ac:dyDescent="0.25">
      <c r="A28" s="1"/>
      <c r="B28" s="66" t="s">
        <v>715</v>
      </c>
      <c r="C28" s="67" t="s">
        <v>721</v>
      </c>
      <c r="D28" s="53"/>
      <c r="E28" s="56" t="s">
        <v>93</v>
      </c>
      <c r="F28" s="1"/>
      <c r="G28" s="1"/>
      <c r="H28" s="1"/>
      <c r="I28" s="1"/>
      <c r="J28" s="1"/>
    </row>
    <row r="29" ht="19" customHeight="1" spans="1:10" x14ac:dyDescent="0.25">
      <c r="A29" s="1"/>
      <c r="B29" s="68" t="s">
        <v>722</v>
      </c>
      <c r="C29" s="69" t="s">
        <v>723</v>
      </c>
      <c r="D29" s="53"/>
      <c r="E29" s="56" t="s">
        <v>93</v>
      </c>
      <c r="F29" s="1"/>
      <c r="G29" s="1"/>
      <c r="H29" s="1"/>
      <c r="I29" s="1"/>
      <c r="J29" s="1"/>
    </row>
    <row r="30" ht="19" customHeight="1" spans="1:10" x14ac:dyDescent="0.25">
      <c r="A30" s="1"/>
      <c r="B30" s="66" t="s">
        <v>722</v>
      </c>
      <c r="C30" s="67" t="s">
        <v>724</v>
      </c>
      <c r="D30" s="53"/>
      <c r="E30" s="56" t="s">
        <v>93</v>
      </c>
      <c r="F30" s="1"/>
      <c r="G30" s="1"/>
      <c r="H30" s="1"/>
      <c r="I30" s="1"/>
      <c r="J30" s="1"/>
    </row>
    <row r="31" ht="19" customHeight="1" spans="1:10" x14ac:dyDescent="0.25">
      <c r="A31" s="1"/>
      <c r="B31" s="68" t="s">
        <v>722</v>
      </c>
      <c r="C31" s="69" t="s">
        <v>725</v>
      </c>
      <c r="D31" s="53"/>
      <c r="E31" s="56" t="s">
        <v>93</v>
      </c>
      <c r="F31" s="1"/>
      <c r="G31" s="1"/>
      <c r="H31" s="1"/>
      <c r="I31" s="1"/>
      <c r="J31" s="1"/>
    </row>
    <row r="32" spans="1:10" x14ac:dyDescent="0.25">
      <c r="A32" s="1"/>
      <c r="B32" s="1"/>
      <c r="C32" s="1"/>
      <c r="D32" s="1"/>
      <c r="E32" s="1"/>
      <c r="F32" s="1"/>
      <c r="G32" s="1"/>
      <c r="H32" s="1"/>
      <c r="I32" s="1"/>
      <c r="J32" s="1"/>
    </row>
    <row r="33" spans="1:10" x14ac:dyDescent="0.25">
      <c r="A33" s="1"/>
      <c r="B33" s="116">
        <f>"Packed: "&amp;COUNTIF(E6:E31,"Yes")&amp;" of "&amp;COUNTA(C6:C31)</f>
      </c>
      <c r="C33" s="1"/>
      <c r="D33" s="1"/>
      <c r="E33" s="1"/>
      <c r="F33" s="1"/>
      <c r="G33" s="1"/>
      <c r="H33" s="1"/>
      <c r="I33" s="1"/>
      <c r="J33" s="1"/>
    </row>
    <row r="34" spans="1:10" x14ac:dyDescent="0.25">
      <c r="A34" s="1"/>
      <c r="B34" s="1"/>
      <c r="C34" s="1"/>
      <c r="D34" s="1"/>
      <c r="E34" s="1"/>
      <c r="F34" s="1"/>
      <c r="G34" s="1"/>
      <c r="H34" s="1"/>
      <c r="I34" s="1"/>
      <c r="J34" s="1"/>
    </row>
    <row r="35" ht="18" customHeight="1" spans="1:10" x14ac:dyDescent="0.25">
      <c r="A35" s="1"/>
      <c r="B35" s="48" t="s">
        <v>726</v>
      </c>
      <c r="C35" s="48"/>
      <c r="D35" s="48"/>
      <c r="E35" s="48"/>
      <c r="F35" s="48"/>
      <c r="G35" s="48"/>
      <c r="H35" s="48"/>
      <c r="I35" s="48"/>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row r="46" spans="1:10" x14ac:dyDescent="0.25">
      <c r="A46" s="1"/>
      <c r="B46" s="1"/>
      <c r="C46" s="1"/>
      <c r="D46" s="1"/>
      <c r="E46" s="1"/>
      <c r="F46" s="1"/>
      <c r="G46" s="1"/>
      <c r="H46" s="1"/>
      <c r="I46" s="1"/>
      <c r="J46" s="1"/>
    </row>
    <row r="47" spans="1:10" x14ac:dyDescent="0.25">
      <c r="A47" s="1"/>
      <c r="B47" s="1"/>
      <c r="C47" s="1"/>
      <c r="D47" s="1"/>
      <c r="E47" s="1"/>
      <c r="F47" s="1"/>
      <c r="G47" s="1"/>
      <c r="H47" s="1"/>
      <c r="I47" s="1"/>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row r="50" spans="1:10" x14ac:dyDescent="0.25">
      <c r="A50" s="1"/>
      <c r="B50" s="1"/>
      <c r="C50" s="1"/>
      <c r="D50" s="1"/>
      <c r="E50" s="1"/>
      <c r="F50" s="1"/>
      <c r="G50" s="1"/>
      <c r="H50" s="1"/>
      <c r="I50" s="1"/>
      <c r="J50" s="1"/>
    </row>
    <row r="51" spans="1:10" x14ac:dyDescent="0.25">
      <c r="A51" s="1"/>
      <c r="B51" s="1"/>
      <c r="C51" s="1"/>
      <c r="D51" s="1"/>
      <c r="E51" s="1"/>
      <c r="F51" s="1"/>
      <c r="G51" s="1"/>
      <c r="H51" s="1"/>
      <c r="I51" s="1"/>
      <c r="J51" s="1"/>
    </row>
    <row r="52" spans="1:10" x14ac:dyDescent="0.25">
      <c r="A52" s="1"/>
      <c r="B52" s="1"/>
      <c r="C52" s="1"/>
      <c r="D52" s="1"/>
      <c r="E52" s="1"/>
      <c r="F52" s="1"/>
      <c r="G52" s="1"/>
      <c r="H52" s="1"/>
      <c r="I52" s="1"/>
      <c r="J52" s="1"/>
    </row>
    <row r="53" spans="1:10" x14ac:dyDescent="0.25">
      <c r="A53" s="1"/>
      <c r="B53" s="1"/>
      <c r="C53" s="1"/>
      <c r="D53" s="1"/>
      <c r="E53" s="1"/>
      <c r="F53" s="1"/>
      <c r="G53" s="1"/>
      <c r="H53" s="1"/>
      <c r="I53" s="1"/>
      <c r="J53" s="1"/>
    </row>
    <row r="54" spans="1:10" x14ac:dyDescent="0.25">
      <c r="A54" s="1"/>
      <c r="B54" s="1"/>
      <c r="C54" s="1"/>
      <c r="D54" s="1"/>
      <c r="E54" s="1"/>
      <c r="F54" s="1"/>
      <c r="G54" s="1"/>
      <c r="H54" s="1"/>
      <c r="I54" s="1"/>
      <c r="J54" s="1"/>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mergeCells count="3">
    <mergeCell ref="B2:H2"/>
    <mergeCell ref="B3:H3"/>
    <mergeCell ref="B35:I35"/>
  </mergeCells>
  <conditionalFormatting sqref="E6:E31">
    <cfRule type="expression" dxfId="127" priority="1">
      <formula>E6="Yes"</formula>
    </cfRule>
  </conditionalFormatting>
  <dataValidations count="1">
    <dataValidation type="list" allowBlank="1" sqref="E6:E31">
      <formula1>"Yes,No"</formula1>
    </dataValidation>
  </dataValidations>
  <pageMargins left="0.4" right="0.4" top="0.5" bottom="0.5" header="0.2" footer="0.2"/>
  <pageSetup orientation="portrait" horizontalDpi="4294967295" verticalDpi="4294967295" scale="100" fitToWidth="1" fitToHeight="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E8B74"/>
  </sheetPr>
  <dimension ref="A2:D78"/>
  <sheetFormatPr defaultRowHeight="15" outlineLevelRow="0" outlineLevelCol="0" x14ac:dyDescent="55"/>
  <cols>
    <col min="1" max="1" width="30" customWidth="1"/>
    <col min="2" max="3" width="15" customWidth="1"/>
  </cols>
  <sheetData>
    <row r="2" spans="1:2" x14ac:dyDescent="0.25">
      <c r="A2" t="s">
        <v>784</v>
      </c>
      <c r="B2">
        <f>SUMIF('Guest List'!$H$6:$H$205,"Yes",'Guest List'!$Q$6:$Q$205)</f>
      </c>
    </row>
    <row r="3" spans="1:2" x14ac:dyDescent="0.25">
      <c r="A3" t="s">
        <v>785</v>
      </c>
      <c r="B3">
        <f>COUNTIF('Guest List'!$H$6:$H$205,"No")</f>
      </c>
    </row>
    <row r="4" spans="1:2" x14ac:dyDescent="0.25">
      <c r="A4" t="s">
        <v>786</v>
      </c>
      <c r="B4">
        <f>COUNTIF('Guest List'!$H$6:$H$205,"Pending")</f>
      </c>
    </row>
    <row r="7" spans="1:2" x14ac:dyDescent="0.25">
      <c r="A7" t="s">
        <v>787</v>
      </c>
      <c r="B7">
        <f>COUNTIF('Guest List'!$G$6:$G$205,"Yes")</f>
      </c>
    </row>
    <row r="8" spans="1:2" x14ac:dyDescent="0.25">
      <c r="A8" t="s">
        <v>788</v>
      </c>
      <c r="B8">
        <f>COUNTIF('Guest List'!$G$6:$G$205,"No")</f>
      </c>
    </row>
    <row r="11" spans="1:2" x14ac:dyDescent="0.25">
      <c r="A11" t="s">
        <v>789</v>
      </c>
      <c r="B11">
        <f>Budget!$C$20</f>
      </c>
    </row>
    <row r="12" spans="1:2" x14ac:dyDescent="0.25">
      <c r="A12" t="s">
        <v>790</v>
      </c>
      <c r="B12">
        <f>Budget!$D$20</f>
      </c>
    </row>
    <row r="13" spans="1:2" x14ac:dyDescent="0.25">
      <c r="A13" t="s">
        <v>227</v>
      </c>
      <c r="B13">
        <f>Budget!$E$20</f>
      </c>
    </row>
    <row r="14" spans="1:2" x14ac:dyDescent="0.25">
      <c r="A14" t="s">
        <v>228</v>
      </c>
      <c r="B14">
        <f>Budget!$F$20</f>
      </c>
    </row>
    <row r="15" spans="1:2" x14ac:dyDescent="0.25">
      <c r="A15" t="s">
        <v>791</v>
      </c>
      <c r="B15">
        <f>Setup!$C$9-Budget!$D$20</f>
      </c>
    </row>
    <row r="16" spans="1:2" x14ac:dyDescent="0.25">
      <c r="A16" t="s">
        <v>792</v>
      </c>
      <c r="B16">
        <f>'Vendors &amp; Real Cost'!$T$31</f>
      </c>
    </row>
    <row r="17" spans="1:2" x14ac:dyDescent="0.25">
      <c r="A17" t="s">
        <v>793</v>
      </c>
      <c r="B17">
        <f>'Hidden Costs'!$D$28</f>
      </c>
    </row>
    <row r="18" spans="1:2" x14ac:dyDescent="0.25">
      <c r="A18" t="s">
        <v>794</v>
      </c>
      <c r="B18">
        <f>'Quote Tracker'!$H$26</f>
      </c>
    </row>
    <row r="19" spans="1:2" x14ac:dyDescent="0.25">
      <c r="A19" t="s">
        <v>795</v>
      </c>
      <c r="B19">
        <f>Budget!$D$20+'Hidden Costs'!$D$28</f>
      </c>
    </row>
    <row r="22" spans="1:2" x14ac:dyDescent="0.25">
      <c r="A22" t="s">
        <v>796</v>
      </c>
      <c r="B22">
        <f>SUM('Guest List'!$Q$6:$Q$205)</f>
      </c>
    </row>
    <row r="23" spans="1:2" x14ac:dyDescent="0.25">
      <c r="A23" t="s">
        <v>281</v>
      </c>
      <c r="B23">
        <f>'Seating Plan'!$E$26</f>
      </c>
    </row>
    <row r="24" spans="1:2" x14ac:dyDescent="0.25">
      <c r="A24" t="s">
        <v>797</v>
      </c>
      <c r="B24">
        <f>COUNTIF('Seating Plan'!$E$6:$E$25,"&gt;0")</f>
      </c>
    </row>
    <row r="25" spans="1:2" x14ac:dyDescent="0.25">
      <c r="A25" t="s">
        <v>294</v>
      </c>
      <c r="B25">
        <f>COUNTIFS('Guest List'!$F$6:$F$205,"&lt;&gt;Guest",'Guest List'!$F$6:$F$205,"&lt;&gt;")</f>
      </c>
    </row>
    <row r="26" spans="1:2" x14ac:dyDescent="0.25">
      <c r="A26" t="s">
        <v>798</v>
      </c>
      <c r="B26">
        <f>MAX(0,INT(Setup!$C$7)-TODAY())</f>
      </c>
    </row>
    <row r="27" spans="1:2" x14ac:dyDescent="0.25">
      <c r="A27" t="s">
        <v>799</v>
      </c>
      <c r="B27">
        <f>COUNTIFS(Checklist!$C$6:$C$51,"&lt;&gt;",Checklist!$H$6:$H$51,"&lt;&gt;Yes")</f>
      </c>
    </row>
    <row r="28" spans="1:2" x14ac:dyDescent="0.25">
      <c r="A28" t="s">
        <v>800</v>
      </c>
      <c r="B28">
        <f>COUNTIFS(Checklist!$I$6:$I$51,"&lt;0")</f>
      </c>
    </row>
    <row r="29" spans="1:2" x14ac:dyDescent="0.25">
      <c r="A29" t="s">
        <v>801</v>
      </c>
      <c r="B29">
        <f>SUMIFS('Payment Schedule'!$E$6:$E$55,'Payment Schedule'!$I$6:$I$55,DATE(YEAR(TODAY()),MONTH(TODAY()),1))</f>
      </c>
    </row>
    <row r="30" spans="1:2" x14ac:dyDescent="0.25">
      <c r="A30" t="s">
        <v>802</v>
      </c>
      <c r="B30">
        <f>SUMIFS('Payment Schedule'!$E$6:$E$55,'Payment Schedule'!$I$6:$I$55,EDATE(DATE(YEAR(TODAY()),MONTH(TODAY()),1),1))</f>
      </c>
    </row>
    <row r="31" spans="1:2" x14ac:dyDescent="0.25">
      <c r="A31" t="s">
        <v>803</v>
      </c>
      <c r="B31">
        <f>COUNTIF('Payment Schedule'!$H$6:$H$55,"OVERDUE")</f>
      </c>
    </row>
    <row r="34" spans="1:2" x14ac:dyDescent="0.25">
      <c r="A34" t="s">
        <v>328</v>
      </c>
      <c r="B34">
        <f>COUNTIFS(Checklist!$B$6:$B$51,A34,Checklist!$H$6:$H$51,"&lt;&gt;Yes")</f>
      </c>
    </row>
    <row r="35" spans="1:2" x14ac:dyDescent="0.25">
      <c r="A35" t="s">
        <v>337</v>
      </c>
      <c r="B35">
        <f>COUNTIFS(Checklist!$B$6:$B$51,A35,Checklist!$H$6:$H$51,"&lt;&gt;Yes")</f>
      </c>
    </row>
    <row r="36" spans="1:2" x14ac:dyDescent="0.25">
      <c r="A36" t="s">
        <v>346</v>
      </c>
      <c r="B36">
        <f>COUNTIFS(Checklist!$B$6:$B$51,A36,Checklist!$H$6:$H$51,"&lt;&gt;Yes")</f>
      </c>
    </row>
    <row r="37" spans="1:2" x14ac:dyDescent="0.25">
      <c r="A37" t="s">
        <v>353</v>
      </c>
      <c r="B37">
        <f>COUNTIFS(Checklist!$B$6:$B$51,A37,Checklist!$H$6:$H$51,"&lt;&gt;Yes")</f>
      </c>
    </row>
    <row r="38" spans="1:2" x14ac:dyDescent="0.25">
      <c r="A38" t="s">
        <v>360</v>
      </c>
      <c r="B38">
        <f>COUNTIFS(Checklist!$B$6:$B$51,A38,Checklist!$H$6:$H$51,"&lt;&gt;Yes")</f>
      </c>
    </row>
    <row r="39" spans="1:2" x14ac:dyDescent="0.25">
      <c r="A39" t="s">
        <v>367</v>
      </c>
      <c r="B39">
        <f>COUNTIFS(Checklist!$B$6:$B$51,A39,Checklist!$H$6:$H$51,"&lt;&gt;Yes")</f>
      </c>
    </row>
    <row r="40" spans="1:2" x14ac:dyDescent="0.25">
      <c r="A40" t="s">
        <v>374</v>
      </c>
      <c r="B40">
        <f>COUNTIFS(Checklist!$B$6:$B$51,A40,Checklist!$H$6:$H$51,"&lt;&gt;Yes")</f>
      </c>
    </row>
    <row r="41" spans="1:2" x14ac:dyDescent="0.25">
      <c r="A41" t="s">
        <v>381</v>
      </c>
      <c r="B41">
        <f>COUNTIFS(Checklist!$B$6:$B$51,A41,Checklist!$H$6:$H$51,"&lt;&gt;Yes")</f>
      </c>
    </row>
    <row r="44" spans="1:3" x14ac:dyDescent="0.25">
      <c r="A44">
        <f>IF(B44="","",INDEX(Checklist!$C$6:$C$51,MATCH(B44,Checklist!$J$6:$J$51,0)))</f>
      </c>
      <c r="B44">
        <f>IFERROR(SMALL(Checklist!$J$6:$J$51,1),"")</f>
      </c>
      <c r="C44">
        <f>IF(B44="","",INT(B44))</f>
      </c>
    </row>
    <row r="45" spans="1:3" x14ac:dyDescent="0.25">
      <c r="A45">
        <f>IF(B45="","",INDEX(Checklist!$C$6:$C$51,MATCH(B45,Checklist!$J$6:$J$51,0)))</f>
      </c>
      <c r="B45">
        <f>IFERROR(SMALL(Checklist!$J$6:$J$51,2),"")</f>
      </c>
      <c r="C45">
        <f>IF(B45="","",INT(B45))</f>
      </c>
    </row>
    <row r="46" spans="1:3" x14ac:dyDescent="0.25">
      <c r="A46">
        <f>IF(B46="","",INDEX(Checklist!$C$6:$C$51,MATCH(B46,Checklist!$J$6:$J$51,0)))</f>
      </c>
      <c r="B46">
        <f>IFERROR(SMALL(Checklist!$J$6:$J$51,3),"")</f>
      </c>
      <c r="C46">
        <f>IF(B46="","",INT(B46))</f>
      </c>
    </row>
    <row r="47" spans="1:3" x14ac:dyDescent="0.25">
      <c r="A47">
        <f>IF(B47="","",INDEX(Checklist!$C$6:$C$51,MATCH(B47,Checklist!$J$6:$J$51,0)))</f>
      </c>
      <c r="B47">
        <f>IFERROR(SMALL(Checklist!$J$6:$J$51,4),"")</f>
      </c>
      <c r="C47">
        <f>IF(B47="","",INT(B47))</f>
      </c>
    </row>
    <row r="48" spans="1:3" x14ac:dyDescent="0.25">
      <c r="A48">
        <f>IF(B48="","",INDEX(Checklist!$C$6:$C$51,MATCH(B48,Checklist!$J$6:$J$51,0)))</f>
      </c>
      <c r="B48">
        <f>IFERROR(SMALL(Checklist!$J$6:$J$51,5),"")</f>
      </c>
      <c r="C48">
        <f>IF(B48="","",INT(B48))</f>
      </c>
    </row>
    <row r="49" spans="1:3" x14ac:dyDescent="0.25">
      <c r="A49">
        <f>IF(B49="","",INDEX(Checklist!$C$6:$C$51,MATCH(B49,Checklist!$J$6:$J$51,0)))</f>
      </c>
      <c r="B49">
        <f>IFERROR(SMALL(Checklist!$J$6:$J$51,6),"")</f>
      </c>
      <c r="C49">
        <f>IF(B49="","",INT(B49))</f>
      </c>
    </row>
    <row r="52" spans="1:4" x14ac:dyDescent="0.25">
      <c r="A52">
        <f>IF(B52="","",INDEX('Payment Schedule'!$C$6:$C$55,MATCH(B52,'Payment Schedule'!$J$6:$J$55,0))&amp;"  ·  "&amp;INDEX('Payment Schedule'!$D$6:$D$55,MATCH(B52,'Payment Schedule'!$J$6:$J$55,0)))</f>
      </c>
      <c r="B52">
        <f>IFERROR(SMALL('Payment Schedule'!$J$6:$J$55,1),"")</f>
      </c>
      <c r="C52">
        <f>IF(B52="","",INDEX('Payment Schedule'!$E$6:$E$55,MATCH(B52,'Payment Schedule'!$J$6:$J$55,0)))</f>
      </c>
      <c r="D52">
        <f>IF(B52="","",INT(B52))</f>
      </c>
    </row>
    <row r="53" spans="1:4" x14ac:dyDescent="0.25">
      <c r="A53">
        <f>IF(B53="","",INDEX('Payment Schedule'!$C$6:$C$55,MATCH(B53,'Payment Schedule'!$J$6:$J$55,0))&amp;"  ·  "&amp;INDEX('Payment Schedule'!$D$6:$D$55,MATCH(B53,'Payment Schedule'!$J$6:$J$55,0)))</f>
      </c>
      <c r="B53">
        <f>IFERROR(SMALL('Payment Schedule'!$J$6:$J$55,2),"")</f>
      </c>
      <c r="C53">
        <f>IF(B53="","",INDEX('Payment Schedule'!$E$6:$E$55,MATCH(B53,'Payment Schedule'!$J$6:$J$55,0)))</f>
      </c>
      <c r="D53">
        <f>IF(B53="","",INT(B53))</f>
      </c>
    </row>
    <row r="54" spans="1:4" x14ac:dyDescent="0.25">
      <c r="A54">
        <f>IF(B54="","",INDEX('Payment Schedule'!$C$6:$C$55,MATCH(B54,'Payment Schedule'!$J$6:$J$55,0))&amp;"  ·  "&amp;INDEX('Payment Schedule'!$D$6:$D$55,MATCH(B54,'Payment Schedule'!$J$6:$J$55,0)))</f>
      </c>
      <c r="B54">
        <f>IFERROR(SMALL('Payment Schedule'!$J$6:$J$55,3),"")</f>
      </c>
      <c r="C54">
        <f>IF(B54="","",INDEX('Payment Schedule'!$E$6:$E$55,MATCH(B54,'Payment Schedule'!$J$6:$J$55,0)))</f>
      </c>
      <c r="D54">
        <f>IF(B54="","",INT(B54))</f>
      </c>
    </row>
    <row r="55" spans="1:4" x14ac:dyDescent="0.25">
      <c r="A55">
        <f>IF(B55="","",INDEX('Payment Schedule'!$C$6:$C$55,MATCH(B55,'Payment Schedule'!$J$6:$J$55,0))&amp;"  ·  "&amp;INDEX('Payment Schedule'!$D$6:$D$55,MATCH(B55,'Payment Schedule'!$J$6:$J$55,0)))</f>
      </c>
      <c r="B55">
        <f>IFERROR(SMALL('Payment Schedule'!$J$6:$J$55,4),"")</f>
      </c>
      <c r="C55">
        <f>IF(B55="","",INDEX('Payment Schedule'!$E$6:$E$55,MATCH(B55,'Payment Schedule'!$J$6:$J$55,0)))</f>
      </c>
      <c r="D55">
        <f>IF(B55="","",INT(B55))</f>
      </c>
    </row>
    <row r="56" spans="1:4" x14ac:dyDescent="0.25">
      <c r="A56">
        <f>IF(B56="","",INDEX('Payment Schedule'!$C$6:$C$55,MATCH(B56,'Payment Schedule'!$J$6:$J$55,0))&amp;"  ·  "&amp;INDEX('Payment Schedule'!$D$6:$D$55,MATCH(B56,'Payment Schedule'!$J$6:$J$55,0)))</f>
      </c>
      <c r="B56">
        <f>IFERROR(SMALL('Payment Schedule'!$J$6:$J$55,5),"")</f>
      </c>
      <c r="C56">
        <f>IF(B56="","",INDEX('Payment Schedule'!$E$6:$E$55,MATCH(B56,'Payment Schedule'!$J$6:$J$55,0)))</f>
      </c>
      <c r="D56">
        <f>IF(B56="","",INT(B56))</f>
      </c>
    </row>
    <row r="57" spans="1:4" x14ac:dyDescent="0.25">
      <c r="A57">
        <f>IF(B57="","",INDEX('Payment Schedule'!$C$6:$C$55,MATCH(B57,'Payment Schedule'!$J$6:$J$55,0))&amp;"  ·  "&amp;INDEX('Payment Schedule'!$D$6:$D$55,MATCH(B57,'Payment Schedule'!$J$6:$J$55,0)))</f>
      </c>
      <c r="B57">
        <f>IFERROR(SMALL('Payment Schedule'!$J$6:$J$55,6),"")</f>
      </c>
      <c r="C57">
        <f>IF(B57="","",INDEX('Payment Schedule'!$E$6:$E$55,MATCH(B57,'Payment Schedule'!$J$6:$J$55,0)))</f>
      </c>
      <c r="D57">
        <f>IF(B57="","",INT(B57))</f>
      </c>
    </row>
    <row r="60" spans="1:2" x14ac:dyDescent="0.25">
      <c r="A60">
        <f>Setup!$B$19</f>
      </c>
      <c r="B60">
        <f>SUMIF('Guest List'!$D$6:$D$205,A60,'Guest List'!$Q$6:$Q$205)</f>
      </c>
    </row>
    <row r="61" spans="1:2" x14ac:dyDescent="0.25">
      <c r="A61">
        <f>Setup!$B$20</f>
      </c>
      <c r="B61">
        <f>SUMIF('Guest List'!$D$6:$D$205,A61,'Guest List'!$Q$6:$Q$205)</f>
      </c>
    </row>
    <row r="62" spans="1:2" x14ac:dyDescent="0.25">
      <c r="A62">
        <f>Setup!$B$21</f>
      </c>
      <c r="B62">
        <f>SUMIF('Guest List'!$D$6:$D$205,A62,'Guest List'!$Q$6:$Q$205)</f>
      </c>
    </row>
    <row r="63" spans="1:2" x14ac:dyDescent="0.25">
      <c r="A63">
        <f>Setup!$B$22</f>
      </c>
      <c r="B63">
        <f>SUMIF('Guest List'!$D$6:$D$205,A63,'Guest List'!$Q$6:$Q$205)</f>
      </c>
    </row>
    <row r="64" spans="1:2" x14ac:dyDescent="0.25">
      <c r="A64">
        <f>Setup!$B$23</f>
      </c>
      <c r="B64">
        <f>SUMIF('Guest List'!$D$6:$D$205,A64,'Guest List'!$Q$6:$Q$205)</f>
      </c>
    </row>
    <row r="67" spans="1:2" x14ac:dyDescent="0.25">
      <c r="A67">
        <f>TEXT('Payment Schedule'!$B$60,"mmm")</f>
      </c>
      <c r="B67">
        <f>'Payment Schedule'!$C$60</f>
      </c>
    </row>
    <row r="68" spans="1:2" x14ac:dyDescent="0.25">
      <c r="A68">
        <f>TEXT('Payment Schedule'!$B$61,"mmm")</f>
      </c>
      <c r="B68">
        <f>'Payment Schedule'!$C$61</f>
      </c>
    </row>
    <row r="69" spans="1:2" x14ac:dyDescent="0.25">
      <c r="A69">
        <f>TEXT('Payment Schedule'!$B$62,"mmm")</f>
      </c>
      <c r="B69">
        <f>'Payment Schedule'!$C$62</f>
      </c>
    </row>
    <row r="70" spans="1:2" x14ac:dyDescent="0.25">
      <c r="A70">
        <f>TEXT('Payment Schedule'!$B$63,"mmm")</f>
      </c>
      <c r="B70">
        <f>'Payment Schedule'!$C$63</f>
      </c>
    </row>
    <row r="71" spans="1:2" x14ac:dyDescent="0.25">
      <c r="A71">
        <f>TEXT('Payment Schedule'!$B$64,"mmm")</f>
      </c>
      <c r="B71">
        <f>'Payment Schedule'!$C$64</f>
      </c>
    </row>
    <row r="72" spans="1:2" x14ac:dyDescent="0.25">
      <c r="A72">
        <f>TEXT('Payment Schedule'!$B$65,"mmm")</f>
      </c>
      <c r="B72">
        <f>'Payment Schedule'!$C$65</f>
      </c>
    </row>
    <row r="73" spans="1:2" x14ac:dyDescent="0.25">
      <c r="A73">
        <f>TEXT('Payment Schedule'!$B$66,"mmm")</f>
      </c>
      <c r="B73">
        <f>'Payment Schedule'!$C$66</f>
      </c>
    </row>
    <row r="74" spans="1:2" x14ac:dyDescent="0.25">
      <c r="A74">
        <f>TEXT('Payment Schedule'!$B$67,"mmm")</f>
      </c>
      <c r="B74">
        <f>'Payment Schedule'!$C$67</f>
      </c>
    </row>
    <row r="75" spans="1:2" x14ac:dyDescent="0.25">
      <c r="A75">
        <f>TEXT('Payment Schedule'!$B$68,"mmm")</f>
      </c>
      <c r="B75">
        <f>'Payment Schedule'!$C$68</f>
      </c>
    </row>
    <row r="76" spans="1:2" x14ac:dyDescent="0.25">
      <c r="A76">
        <f>TEXT('Payment Schedule'!$B$69,"mmm")</f>
      </c>
      <c r="B76">
        <f>'Payment Schedule'!$C$69</f>
      </c>
    </row>
    <row r="77" spans="1:2" x14ac:dyDescent="0.25">
      <c r="A77">
        <f>TEXT('Payment Schedule'!$B$70,"mmm")</f>
      </c>
      <c r="B77">
        <f>'Payment Schedule'!$C$70</f>
      </c>
    </row>
    <row r="78" spans="1:2" x14ac:dyDescent="0.25">
      <c r="A78">
        <f>TEXT('Payment Schedule'!$B$71,"mmm")</f>
      </c>
      <c r="B78">
        <f>'Payment Schedule'!$C$71</f>
      </c>
    </row>
  </sheetData>
  <pageMargins left="0.7" right="0.7" top="0.75" bottom="0.75" header="0.3" footer="0.3"/>
  <pageSetup orientation="portrait" horizontalDpi="4294967295" verticalDpi="4294967295" scale="100" fitToWidth="1" fitToHeigh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654A"/>
  </sheetPr>
  <dimension ref="A1:AA52"/>
  <sheetViews>
    <sheetView workbookViewId="0" showGridLines="0" zoomScale="100"/>
  </sheetViews>
  <sheetFormatPr defaultRowHeight="15" outlineLevelRow="0" outlineLevelCol="0" x14ac:dyDescent="55"/>
  <cols>
    <col min="1" max="1" width="2" customWidth="1"/>
    <col min="2" max="26" width="5.3" customWidth="1"/>
    <col min="27" max="27" width="2" customWidth="1"/>
  </cols>
  <sheetData>
    <row r="1" ht="8" customHeight="1" spans="1:27" x14ac:dyDescent="0.25">
      <c r="A1" s="1"/>
      <c r="B1" s="2"/>
      <c r="C1" s="2"/>
      <c r="D1" s="2"/>
      <c r="E1" s="2"/>
      <c r="F1" s="2"/>
      <c r="G1" s="2"/>
      <c r="H1" s="2"/>
      <c r="I1" s="2"/>
      <c r="J1" s="2"/>
      <c r="K1" s="2"/>
      <c r="L1" s="2"/>
      <c r="M1" s="2"/>
      <c r="N1" s="2"/>
      <c r="O1" s="2"/>
      <c r="P1" s="2"/>
      <c r="Q1" s="2"/>
      <c r="R1" s="2"/>
      <c r="S1" s="2"/>
      <c r="T1" s="2"/>
      <c r="U1" s="2"/>
      <c r="V1" s="2"/>
      <c r="W1" s="2"/>
      <c r="X1" s="2"/>
      <c r="Y1" s="2"/>
      <c r="Z1" s="2"/>
      <c r="AA1" s="1"/>
    </row>
    <row r="2" ht="40" customHeight="1" spans="1:27" x14ac:dyDescent="0.25">
      <c r="A2" s="1"/>
      <c r="B2" s="3">
        <f>Setup!$C$5&amp;"   &amp;   "&amp;Setup!$C$6</f>
      </c>
      <c r="C2" s="3"/>
      <c r="D2" s="3"/>
      <c r="E2" s="3"/>
      <c r="F2" s="3"/>
      <c r="G2" s="3"/>
      <c r="H2" s="3"/>
      <c r="I2" s="3"/>
      <c r="J2" s="3"/>
      <c r="K2" s="3"/>
      <c r="L2" s="3"/>
      <c r="M2" s="3"/>
      <c r="N2" s="3"/>
      <c r="O2" s="3"/>
      <c r="P2" s="3"/>
      <c r="Q2" s="3"/>
      <c r="R2" s="3"/>
      <c r="S2" s="3"/>
      <c r="T2" s="3"/>
      <c r="U2" s="3"/>
      <c r="V2" s="3"/>
      <c r="W2" s="3"/>
      <c r="X2" s="3"/>
      <c r="Y2" s="3"/>
      <c r="Z2" s="3"/>
      <c r="AA2" s="1"/>
    </row>
    <row r="3" ht="16" customHeight="1" spans="1:27" x14ac:dyDescent="0.25">
      <c r="A3" s="1"/>
      <c r="B3" s="4">
        <f>UPPER(TEXT(INT(Setup!$C$7),"d mmmm yyyy"))&amp;"   ·   "&amp;UPPER(Setup!$C$11)&amp;"   ·   "&amp;Data!B26&amp;" DAYS TO GO"</f>
      </c>
      <c r="C3" s="4"/>
      <c r="D3" s="4"/>
      <c r="E3" s="4"/>
      <c r="F3" s="4"/>
      <c r="G3" s="4"/>
      <c r="H3" s="4"/>
      <c r="I3" s="4"/>
      <c r="J3" s="4"/>
      <c r="K3" s="4"/>
      <c r="L3" s="4"/>
      <c r="M3" s="4"/>
      <c r="N3" s="4"/>
      <c r="O3" s="4"/>
      <c r="P3" s="4"/>
      <c r="Q3" s="4"/>
      <c r="R3" s="4"/>
      <c r="S3" s="4"/>
      <c r="T3" s="4"/>
      <c r="U3" s="4"/>
      <c r="V3" s="4"/>
      <c r="W3" s="4"/>
      <c r="X3" s="4"/>
      <c r="Y3" s="4"/>
      <c r="Z3" s="4"/>
      <c r="AA3" s="1"/>
    </row>
    <row r="4" ht="8" customHeight="1" spans="1:27" x14ac:dyDescent="0.25">
      <c r="A4" s="1"/>
      <c r="B4" s="5"/>
      <c r="C4" s="5"/>
      <c r="D4" s="5"/>
      <c r="E4" s="5"/>
      <c r="F4" s="5"/>
      <c r="G4" s="5"/>
      <c r="H4" s="5"/>
      <c r="I4" s="5"/>
      <c r="J4" s="5"/>
      <c r="K4" s="5"/>
      <c r="L4" s="5"/>
      <c r="M4" s="5"/>
      <c r="N4" s="5"/>
      <c r="O4" s="5"/>
      <c r="P4" s="5"/>
      <c r="Q4" s="5"/>
      <c r="R4" s="5"/>
      <c r="S4" s="5"/>
      <c r="T4" s="5"/>
      <c r="U4" s="5"/>
      <c r="V4" s="5"/>
      <c r="W4" s="5"/>
      <c r="X4" s="5"/>
      <c r="Y4" s="5"/>
      <c r="Z4" s="5"/>
      <c r="AA4" s="1"/>
    </row>
    <row r="5" ht="17" customHeight="1" spans="1:27" x14ac:dyDescent="0.25">
      <c r="A5" s="1"/>
      <c r="B5" s="6" t="s">
        <v>0</v>
      </c>
      <c r="C5" s="6"/>
      <c r="D5" s="6"/>
      <c r="E5" s="6"/>
      <c r="F5" s="6"/>
      <c r="G5" s="6"/>
      <c r="H5" s="6"/>
      <c r="I5" s="1"/>
      <c r="J5" s="6" t="s">
        <v>1</v>
      </c>
      <c r="K5" s="6"/>
      <c r="L5" s="6"/>
      <c r="M5" s="6"/>
      <c r="N5" s="6"/>
      <c r="O5" s="6"/>
      <c r="P5" s="1"/>
      <c r="Q5" s="6" t="s">
        <v>2</v>
      </c>
      <c r="R5" s="6"/>
      <c r="S5" s="6"/>
      <c r="T5" s="6"/>
      <c r="U5" s="6"/>
      <c r="V5" s="1"/>
      <c r="W5" s="6" t="s">
        <v>3</v>
      </c>
      <c r="X5" s="6"/>
      <c r="Y5" s="6"/>
      <c r="Z5" s="6"/>
      <c r="AA5" s="1"/>
    </row>
    <row r="6" ht="16" customHeight="1" spans="1:27" x14ac:dyDescent="0.25">
      <c r="A6" s="1"/>
      <c r="B6" s="7">
        <f>Setup!$C$8&amp;TEXT(Data!B12,"#,##0")</f>
      </c>
      <c r="C6" s="7"/>
      <c r="D6" s="7"/>
      <c r="E6" s="7"/>
      <c r="F6" s="7"/>
      <c r="G6" s="7"/>
      <c r="H6" s="7"/>
      <c r="I6" s="1"/>
      <c r="J6" s="8">
        <f>Setup!$C$8&amp;TEXT(Data!B13,"#,##0")</f>
      </c>
      <c r="K6" s="8"/>
      <c r="L6" s="8"/>
      <c r="M6" s="8"/>
      <c r="N6" s="8"/>
      <c r="O6" s="8"/>
      <c r="P6" s="1"/>
      <c r="Q6" s="9">
        <f>Setup!$C$8&amp;TEXT(Data!B14,"#,##0")</f>
      </c>
      <c r="R6" s="9"/>
      <c r="S6" s="9"/>
      <c r="T6" s="9"/>
      <c r="U6" s="9"/>
      <c r="V6" s="1"/>
      <c r="W6" s="7">
        <f>Setup!$C$8&amp;TEXT(Data!B15,"#,##0")</f>
      </c>
      <c r="X6" s="7"/>
      <c r="Y6" s="7"/>
      <c r="Z6" s="7"/>
      <c r="AA6" s="1"/>
    </row>
    <row r="7" ht="16" customHeight="1" spans="1:27" x14ac:dyDescent="0.25">
      <c r="A7" s="1"/>
      <c r="B7" s="7"/>
      <c r="C7" s="7"/>
      <c r="D7" s="7"/>
      <c r="E7" s="7"/>
      <c r="F7" s="7"/>
      <c r="G7" s="7"/>
      <c r="H7" s="7"/>
      <c r="I7" s="1"/>
      <c r="J7" s="8"/>
      <c r="K7" s="8"/>
      <c r="L7" s="8"/>
      <c r="M7" s="8"/>
      <c r="N7" s="8"/>
      <c r="O7" s="8"/>
      <c r="P7" s="1"/>
      <c r="Q7" s="9"/>
      <c r="R7" s="9"/>
      <c r="S7" s="9"/>
      <c r="T7" s="9"/>
      <c r="U7" s="9"/>
      <c r="V7" s="1"/>
      <c r="W7" s="7"/>
      <c r="X7" s="7"/>
      <c r="Y7" s="7"/>
      <c r="Z7" s="7"/>
      <c r="AA7" s="1"/>
    </row>
    <row r="8" ht="16" customHeight="1" spans="1:27" x14ac:dyDescent="0.25">
      <c r="A8" s="1"/>
      <c r="B8" s="7"/>
      <c r="C8" s="7"/>
      <c r="D8" s="7"/>
      <c r="E8" s="7"/>
      <c r="F8" s="7"/>
      <c r="G8" s="7"/>
      <c r="H8" s="7"/>
      <c r="I8" s="1"/>
      <c r="J8" s="8"/>
      <c r="K8" s="8"/>
      <c r="L8" s="8"/>
      <c r="M8" s="8"/>
      <c r="N8" s="8"/>
      <c r="O8" s="8"/>
      <c r="P8" s="1"/>
      <c r="Q8" s="9"/>
      <c r="R8" s="9"/>
      <c r="S8" s="9"/>
      <c r="T8" s="9"/>
      <c r="U8" s="9"/>
      <c r="V8" s="1"/>
      <c r="W8" s="7"/>
      <c r="X8" s="7"/>
      <c r="Y8" s="7"/>
      <c r="Z8" s="7"/>
      <c r="AA8" s="1"/>
    </row>
    <row r="9" ht="16" customHeight="1"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ht="17" customHeight="1" spans="1:27" x14ac:dyDescent="0.25">
      <c r="A10" s="1"/>
      <c r="B10" s="6" t="s">
        <v>4</v>
      </c>
      <c r="C10" s="6"/>
      <c r="D10" s="6"/>
      <c r="E10" s="6"/>
      <c r="F10" s="6"/>
      <c r="G10" s="6"/>
      <c r="H10" s="6"/>
      <c r="I10" s="1"/>
      <c r="J10" s="6" t="s">
        <v>5</v>
      </c>
      <c r="K10" s="6"/>
      <c r="L10" s="6"/>
      <c r="M10" s="6"/>
      <c r="N10" s="6"/>
      <c r="O10" s="6"/>
      <c r="P10" s="1"/>
      <c r="Q10" s="6" t="s">
        <v>6</v>
      </c>
      <c r="R10" s="6"/>
      <c r="S10" s="6"/>
      <c r="T10" s="6"/>
      <c r="U10" s="6"/>
      <c r="V10" s="1"/>
      <c r="W10" s="6" t="s">
        <v>7</v>
      </c>
      <c r="X10" s="6"/>
      <c r="Y10" s="6"/>
      <c r="Z10" s="6"/>
      <c r="AA10" s="1"/>
    </row>
    <row r="11" ht="16" customHeight="1" spans="1:27" x14ac:dyDescent="0.25">
      <c r="A11" s="1"/>
      <c r="B11" s="10">
        <f>"THIS MONTH"</f>
      </c>
      <c r="C11" s="10"/>
      <c r="D11" s="10"/>
      <c r="E11" s="10"/>
      <c r="F11" s="10"/>
      <c r="G11" s="10"/>
      <c r="H11" s="10"/>
      <c r="I11" s="1"/>
      <c r="J11" s="11">
        <f>Data!C44</f>
      </c>
      <c r="K11" s="11"/>
      <c r="L11" s="12">
        <f>Data!A44</f>
      </c>
      <c r="M11" s="12"/>
      <c r="N11" s="12"/>
      <c r="O11" s="12"/>
      <c r="P11" s="1"/>
      <c r="Q11" s="13"/>
      <c r="R11" s="14"/>
      <c r="S11" s="14"/>
      <c r="T11" s="14"/>
      <c r="U11" s="15"/>
      <c r="V11" s="1"/>
      <c r="W11" s="13"/>
      <c r="X11" s="14"/>
      <c r="Y11" s="14"/>
      <c r="Z11" s="15"/>
      <c r="AA11" s="1"/>
    </row>
    <row r="12" ht="16" customHeight="1" spans="1:27" x14ac:dyDescent="0.25">
      <c r="A12" s="1"/>
      <c r="B12" s="16">
        <f>Setup!$C$8&amp;TEXT(Data!B29,"#,##0")</f>
      </c>
      <c r="C12" s="16"/>
      <c r="D12" s="16"/>
      <c r="E12" s="16"/>
      <c r="F12" s="16"/>
      <c r="G12" s="16"/>
      <c r="H12" s="16"/>
      <c r="I12" s="1"/>
      <c r="J12" s="11">
        <f>Data!C45</f>
      </c>
      <c r="K12" s="11"/>
      <c r="L12" s="12">
        <f>Data!A45</f>
      </c>
      <c r="M12" s="12"/>
      <c r="N12" s="12"/>
      <c r="O12" s="12"/>
      <c r="P12" s="1"/>
      <c r="Q12" s="13"/>
      <c r="R12" s="14"/>
      <c r="S12" s="14"/>
      <c r="T12" s="14"/>
      <c r="U12" s="15"/>
      <c r="V12" s="1"/>
      <c r="W12" s="13"/>
      <c r="X12" s="14"/>
      <c r="Y12" s="14"/>
      <c r="Z12" s="15"/>
      <c r="AA12" s="1"/>
    </row>
    <row r="13" ht="16" customHeight="1" spans="1:27" x14ac:dyDescent="0.25">
      <c r="A13" s="1"/>
      <c r="B13" s="16"/>
      <c r="C13" s="16"/>
      <c r="D13" s="16"/>
      <c r="E13" s="16"/>
      <c r="F13" s="16"/>
      <c r="G13" s="16"/>
      <c r="H13" s="16"/>
      <c r="I13" s="1"/>
      <c r="J13" s="11">
        <f>Data!C46</f>
      </c>
      <c r="K13" s="11"/>
      <c r="L13" s="12">
        <f>Data!A46</f>
      </c>
      <c r="M13" s="12"/>
      <c r="N13" s="12"/>
      <c r="O13" s="12"/>
      <c r="P13" s="1"/>
      <c r="Q13" s="13"/>
      <c r="R13" s="14"/>
      <c r="S13" s="14"/>
      <c r="T13" s="14"/>
      <c r="U13" s="15"/>
      <c r="V13" s="1"/>
      <c r="W13" s="13"/>
      <c r="X13" s="14"/>
      <c r="Y13" s="14"/>
      <c r="Z13" s="15"/>
      <c r="AA13" s="1"/>
    </row>
    <row r="14" ht="16" customHeight="1" spans="1:27" x14ac:dyDescent="0.25">
      <c r="A14" s="1"/>
      <c r="B14" s="10">
        <f>"NEXT MONTH"</f>
      </c>
      <c r="C14" s="10"/>
      <c r="D14" s="10"/>
      <c r="E14" s="10"/>
      <c r="F14" s="10"/>
      <c r="G14" s="10"/>
      <c r="H14" s="10"/>
      <c r="I14" s="1"/>
      <c r="J14" s="11">
        <f>Data!C47</f>
      </c>
      <c r="K14" s="11"/>
      <c r="L14" s="12">
        <f>Data!A47</f>
      </c>
      <c r="M14" s="12"/>
      <c r="N14" s="12"/>
      <c r="O14" s="12"/>
      <c r="P14" s="1"/>
      <c r="Q14" s="13"/>
      <c r="R14" s="14"/>
      <c r="S14" s="14"/>
      <c r="T14" s="14"/>
      <c r="U14" s="15"/>
      <c r="V14" s="1"/>
      <c r="W14" s="13"/>
      <c r="X14" s="14"/>
      <c r="Y14" s="14"/>
      <c r="Z14" s="15"/>
      <c r="AA14" s="1"/>
    </row>
    <row r="15" ht="16" customHeight="1" spans="1:27" x14ac:dyDescent="0.25">
      <c r="A15" s="1"/>
      <c r="B15" s="17">
        <f>Setup!$C$8&amp;TEXT(Data!B30,"#,##0")</f>
      </c>
      <c r="C15" s="17"/>
      <c r="D15" s="17"/>
      <c r="E15" s="17"/>
      <c r="F15" s="17"/>
      <c r="G15" s="17"/>
      <c r="H15" s="17"/>
      <c r="I15" s="1"/>
      <c r="J15" s="11">
        <f>Data!C48</f>
      </c>
      <c r="K15" s="11"/>
      <c r="L15" s="12">
        <f>Data!A48</f>
      </c>
      <c r="M15" s="12"/>
      <c r="N15" s="12"/>
      <c r="O15" s="12"/>
      <c r="P15" s="1"/>
      <c r="Q15" s="13"/>
      <c r="R15" s="14"/>
      <c r="S15" s="14"/>
      <c r="T15" s="14"/>
      <c r="U15" s="15"/>
      <c r="V15" s="1"/>
      <c r="W15" s="13"/>
      <c r="X15" s="14"/>
      <c r="Y15" s="14"/>
      <c r="Z15" s="15"/>
      <c r="AA15" s="1"/>
    </row>
    <row r="16" ht="16" customHeight="1" spans="1:27" x14ac:dyDescent="0.25">
      <c r="A16" s="1"/>
      <c r="B16" s="17"/>
      <c r="C16" s="17"/>
      <c r="D16" s="17"/>
      <c r="E16" s="17"/>
      <c r="F16" s="17"/>
      <c r="G16" s="17"/>
      <c r="H16" s="17"/>
      <c r="I16" s="1"/>
      <c r="J16" s="11">
        <f>Data!C49</f>
      </c>
      <c r="K16" s="11"/>
      <c r="L16" s="12">
        <f>Data!A49</f>
      </c>
      <c r="M16" s="12"/>
      <c r="N16" s="12"/>
      <c r="O16" s="12"/>
      <c r="P16" s="1"/>
      <c r="Q16" s="13"/>
      <c r="R16" s="14"/>
      <c r="S16" s="14"/>
      <c r="T16" s="14"/>
      <c r="U16" s="15"/>
      <c r="V16" s="1"/>
      <c r="W16" s="13"/>
      <c r="X16" s="14"/>
      <c r="Y16" s="14"/>
      <c r="Z16" s="15"/>
      <c r="AA16" s="1"/>
    </row>
    <row r="17" ht="16" customHeight="1" spans="1:27" x14ac:dyDescent="0.25">
      <c r="A17" s="1"/>
      <c r="B17" s="1"/>
      <c r="C17" s="1"/>
      <c r="D17" s="1"/>
      <c r="E17" s="1"/>
      <c r="F17" s="1"/>
      <c r="G17" s="1"/>
      <c r="H17" s="1"/>
      <c r="I17" s="1"/>
      <c r="J17" s="18"/>
      <c r="K17" s="19"/>
      <c r="L17" s="19"/>
      <c r="M17" s="19"/>
      <c r="N17" s="19"/>
      <c r="O17" s="20"/>
      <c r="P17" s="1"/>
      <c r="Q17" s="13"/>
      <c r="R17" s="14"/>
      <c r="S17" s="14"/>
      <c r="T17" s="14"/>
      <c r="U17" s="15"/>
      <c r="V17" s="1"/>
      <c r="W17" s="13"/>
      <c r="X17" s="14"/>
      <c r="Y17" s="14"/>
      <c r="Z17" s="15"/>
      <c r="AA17" s="1"/>
    </row>
    <row r="18" ht="17" customHeight="1" spans="1:27" x14ac:dyDescent="0.25">
      <c r="A18" s="1"/>
      <c r="B18" s="6" t="s">
        <v>8</v>
      </c>
      <c r="C18" s="6"/>
      <c r="D18" s="6"/>
      <c r="E18" s="6"/>
      <c r="F18" s="6"/>
      <c r="G18" s="6"/>
      <c r="H18" s="6"/>
      <c r="I18" s="1"/>
      <c r="J18" s="1"/>
      <c r="K18" s="1"/>
      <c r="L18" s="1"/>
      <c r="M18" s="1"/>
      <c r="N18" s="1"/>
      <c r="O18" s="1"/>
      <c r="P18" s="1"/>
      <c r="Q18" s="21">
        <f>Data!B2&amp;" yes  ·  "&amp;Data!B3&amp;" no  ·  "&amp;Data!B4&amp;" waiting"</f>
      </c>
      <c r="R18" s="21"/>
      <c r="S18" s="21"/>
      <c r="T18" s="21"/>
      <c r="U18" s="21"/>
      <c r="V18" s="1"/>
      <c r="W18" s="21">
        <f>Data!B7&amp;" of "&amp;(Data!B7+Data!B8)&amp;" sent"</f>
      </c>
      <c r="X18" s="21"/>
      <c r="Y18" s="21"/>
      <c r="Z18" s="21"/>
      <c r="AA18" s="1"/>
    </row>
    <row r="19" ht="17" customHeight="1" spans="1:27" x14ac:dyDescent="0.25">
      <c r="A19" s="1"/>
      <c r="B19" s="11">
        <f>Data!D52</f>
      </c>
      <c r="C19" s="11"/>
      <c r="D19" s="12">
        <f>Data!A52</f>
      </c>
      <c r="E19" s="12"/>
      <c r="F19" s="12"/>
      <c r="G19" s="22">
        <f>IF(Data!C52="","",Setup!$C$8&amp;TEXT(Data!C52,"#,##0"))</f>
      </c>
      <c r="H19" s="22"/>
      <c r="I19" s="1"/>
      <c r="J19" s="6" t="s">
        <v>9</v>
      </c>
      <c r="K19" s="6"/>
      <c r="L19" s="6"/>
      <c r="M19" s="6"/>
      <c r="N19" s="6"/>
      <c r="O19" s="6"/>
      <c r="P19" s="1"/>
      <c r="Q19" s="1"/>
      <c r="R19" s="1"/>
      <c r="S19" s="1"/>
      <c r="T19" s="1"/>
      <c r="U19" s="1"/>
      <c r="V19" s="1"/>
      <c r="W19" s="1"/>
      <c r="X19" s="1"/>
      <c r="Y19" s="1"/>
      <c r="Z19" s="1"/>
      <c r="AA19" s="1"/>
    </row>
    <row r="20" ht="17" customHeight="1" spans="1:27" x14ac:dyDescent="0.25">
      <c r="A20" s="1"/>
      <c r="B20" s="11">
        <f>Data!D53</f>
      </c>
      <c r="C20" s="11"/>
      <c r="D20" s="12">
        <f>Data!A53</f>
      </c>
      <c r="E20" s="12"/>
      <c r="F20" s="12"/>
      <c r="G20" s="22">
        <f>IF(Data!C53="","",Setup!$C$8&amp;TEXT(Data!C53,"#,##0"))</f>
      </c>
      <c r="H20" s="22"/>
      <c r="I20" s="1"/>
      <c r="J20" s="23" t="s">
        <v>10</v>
      </c>
      <c r="K20" s="23"/>
      <c r="L20" s="23"/>
      <c r="M20" s="24" t="s">
        <v>11</v>
      </c>
      <c r="N20" s="24"/>
      <c r="O20" s="24"/>
      <c r="P20" s="1"/>
      <c r="Q20" s="6" t="s">
        <v>12</v>
      </c>
      <c r="R20" s="6"/>
      <c r="S20" s="6"/>
      <c r="T20" s="6"/>
      <c r="U20" s="6"/>
      <c r="V20" s="6"/>
      <c r="W20" s="6"/>
      <c r="X20" s="6"/>
      <c r="Y20" s="6"/>
      <c r="Z20" s="6"/>
      <c r="AA20" s="1"/>
    </row>
    <row r="21" ht="16" customHeight="1" spans="1:27" x14ac:dyDescent="0.25">
      <c r="A21" s="1"/>
      <c r="B21" s="11">
        <f>Data!D54</f>
      </c>
      <c r="C21" s="11"/>
      <c r="D21" s="12">
        <f>Data!A54</f>
      </c>
      <c r="E21" s="12"/>
      <c r="F21" s="12"/>
      <c r="G21" s="22">
        <f>IF(Data!C54="","",Setup!$C$8&amp;TEXT(Data!C54,"#,##0"))</f>
      </c>
      <c r="H21" s="22"/>
      <c r="I21" s="1"/>
      <c r="J21" s="25">
        <f>Data!B22</f>
      </c>
      <c r="K21" s="25"/>
      <c r="L21" s="25"/>
      <c r="M21" s="26">
        <f>Data!B7</f>
      </c>
      <c r="N21" s="26"/>
      <c r="O21" s="26"/>
      <c r="P21" s="1"/>
      <c r="Q21" s="13"/>
      <c r="R21" s="14"/>
      <c r="S21" s="14"/>
      <c r="T21" s="14"/>
      <c r="U21" s="14"/>
      <c r="V21" s="14"/>
      <c r="W21" s="14"/>
      <c r="X21" s="14"/>
      <c r="Y21" s="14"/>
      <c r="Z21" s="15"/>
      <c r="AA21" s="1"/>
    </row>
    <row r="22" ht="16" customHeight="1" spans="1:27" x14ac:dyDescent="0.25">
      <c r="A22" s="1"/>
      <c r="B22" s="11">
        <f>Data!D55</f>
      </c>
      <c r="C22" s="11"/>
      <c r="D22" s="12">
        <f>Data!A55</f>
      </c>
      <c r="E22" s="12"/>
      <c r="F22" s="12"/>
      <c r="G22" s="22">
        <f>IF(Data!C55="","",Setup!$C$8&amp;TEXT(Data!C55,"#,##0"))</f>
      </c>
      <c r="H22" s="22"/>
      <c r="I22" s="1"/>
      <c r="J22" s="25"/>
      <c r="K22" s="25"/>
      <c r="L22" s="25"/>
      <c r="M22" s="26"/>
      <c r="N22" s="26"/>
      <c r="O22" s="26"/>
      <c r="P22" s="1"/>
      <c r="Q22" s="13"/>
      <c r="R22" s="14"/>
      <c r="S22" s="14"/>
      <c r="T22" s="14"/>
      <c r="U22" s="14"/>
      <c r="V22" s="14"/>
      <c r="W22" s="14"/>
      <c r="X22" s="14"/>
      <c r="Y22" s="14"/>
      <c r="Z22" s="15"/>
      <c r="AA22" s="1"/>
    </row>
    <row r="23" ht="16" customHeight="1" spans="1:27" x14ac:dyDescent="0.25">
      <c r="A23" s="1"/>
      <c r="B23" s="11">
        <f>Data!D56</f>
      </c>
      <c r="C23" s="11"/>
      <c r="D23" s="12">
        <f>Data!A56</f>
      </c>
      <c r="E23" s="12"/>
      <c r="F23" s="12"/>
      <c r="G23" s="22">
        <f>IF(Data!C56="","",Setup!$C$8&amp;TEXT(Data!C56,"#,##0"))</f>
      </c>
      <c r="H23" s="22"/>
      <c r="I23" s="1"/>
      <c r="J23" s="23" t="s">
        <v>13</v>
      </c>
      <c r="K23" s="23"/>
      <c r="L23" s="23"/>
      <c r="M23" s="24" t="s">
        <v>14</v>
      </c>
      <c r="N23" s="24"/>
      <c r="O23" s="24"/>
      <c r="P23" s="1"/>
      <c r="Q23" s="13"/>
      <c r="R23" s="14"/>
      <c r="S23" s="14"/>
      <c r="T23" s="14"/>
      <c r="U23" s="14"/>
      <c r="V23" s="14"/>
      <c r="W23" s="14"/>
      <c r="X23" s="14"/>
      <c r="Y23" s="14"/>
      <c r="Z23" s="15"/>
      <c r="AA23" s="1"/>
    </row>
    <row r="24" ht="16" customHeight="1" spans="1:27" x14ac:dyDescent="0.25">
      <c r="A24" s="1"/>
      <c r="B24" s="11">
        <f>Data!D57</f>
      </c>
      <c r="C24" s="11"/>
      <c r="D24" s="12">
        <f>Data!A57</f>
      </c>
      <c r="E24" s="12"/>
      <c r="F24" s="12"/>
      <c r="G24" s="22">
        <f>IF(Data!C57="","",Setup!$C$8&amp;TEXT(Data!C57,"#,##0"))</f>
      </c>
      <c r="H24" s="22"/>
      <c r="I24" s="1"/>
      <c r="J24" s="25">
        <f>Data!B2</f>
      </c>
      <c r="K24" s="25"/>
      <c r="L24" s="25"/>
      <c r="M24" s="26">
        <f>Data!B4</f>
      </c>
      <c r="N24" s="26"/>
      <c r="O24" s="26"/>
      <c r="P24" s="1"/>
      <c r="Q24" s="13"/>
      <c r="R24" s="14"/>
      <c r="S24" s="14"/>
      <c r="T24" s="14"/>
      <c r="U24" s="14"/>
      <c r="V24" s="14"/>
      <c r="W24" s="14"/>
      <c r="X24" s="14"/>
      <c r="Y24" s="14"/>
      <c r="Z24" s="15"/>
      <c r="AA24" s="1"/>
    </row>
    <row r="25" ht="16" customHeight="1" spans="1:27" x14ac:dyDescent="0.25">
      <c r="A25" s="1"/>
      <c r="B25" s="18"/>
      <c r="C25" s="19"/>
      <c r="D25" s="19"/>
      <c r="E25" s="19"/>
      <c r="F25" s="19"/>
      <c r="G25" s="19"/>
      <c r="H25" s="20"/>
      <c r="I25" s="1"/>
      <c r="J25" s="25"/>
      <c r="K25" s="25"/>
      <c r="L25" s="25"/>
      <c r="M25" s="26"/>
      <c r="N25" s="26"/>
      <c r="O25" s="26"/>
      <c r="P25" s="1"/>
      <c r="Q25" s="13"/>
      <c r="R25" s="14"/>
      <c r="S25" s="14"/>
      <c r="T25" s="14"/>
      <c r="U25" s="14"/>
      <c r="V25" s="14"/>
      <c r="W25" s="14"/>
      <c r="X25" s="14"/>
      <c r="Y25" s="14"/>
      <c r="Z25" s="15"/>
      <c r="AA25" s="1"/>
    </row>
    <row r="26" ht="16" customHeight="1" spans="1:27" x14ac:dyDescent="0.25">
      <c r="A26" s="1"/>
      <c r="B26" s="1"/>
      <c r="C26" s="1"/>
      <c r="D26" s="1"/>
      <c r="E26" s="1"/>
      <c r="F26" s="1"/>
      <c r="G26" s="1"/>
      <c r="H26" s="1"/>
      <c r="I26" s="1"/>
      <c r="J26" s="21">
        <f>Data!B25&amp;" in the wedding party   ·   "&amp;Data!B23&amp;" seated of "&amp;Data!B2&amp;" coming"</f>
      </c>
      <c r="K26" s="21"/>
      <c r="L26" s="21"/>
      <c r="M26" s="21"/>
      <c r="N26" s="21"/>
      <c r="O26" s="21"/>
      <c r="P26" s="1"/>
      <c r="Q26" s="13"/>
      <c r="R26" s="14"/>
      <c r="S26" s="14"/>
      <c r="T26" s="14"/>
      <c r="U26" s="14"/>
      <c r="V26" s="14"/>
      <c r="W26" s="14"/>
      <c r="X26" s="14"/>
      <c r="Y26" s="14"/>
      <c r="Z26" s="15"/>
      <c r="AA26" s="1"/>
    </row>
    <row r="27" ht="17" customHeight="1" spans="1:27" x14ac:dyDescent="0.25">
      <c r="A27" s="1"/>
      <c r="B27" s="6" t="s">
        <v>15</v>
      </c>
      <c r="C27" s="6"/>
      <c r="D27" s="6"/>
      <c r="E27" s="6"/>
      <c r="F27" s="6"/>
      <c r="G27" s="6"/>
      <c r="H27" s="6"/>
      <c r="I27" s="1"/>
      <c r="J27" s="1"/>
      <c r="K27" s="1"/>
      <c r="L27" s="1"/>
      <c r="M27" s="1"/>
      <c r="N27" s="1"/>
      <c r="O27" s="1"/>
      <c r="P27" s="1"/>
      <c r="Q27" s="13"/>
      <c r="R27" s="14"/>
      <c r="S27" s="14"/>
      <c r="T27" s="14"/>
      <c r="U27" s="14"/>
      <c r="V27" s="14"/>
      <c r="W27" s="14"/>
      <c r="X27" s="14"/>
      <c r="Y27" s="14"/>
      <c r="Z27" s="15"/>
      <c r="AA27" s="1"/>
    </row>
    <row r="28" ht="17" customHeight="1" spans="1:27" x14ac:dyDescent="0.25">
      <c r="A28" s="1"/>
      <c r="B28" s="27">
        <f>Data!A34</f>
      </c>
      <c r="C28" s="27"/>
      <c r="D28" s="27"/>
      <c r="E28" s="27"/>
      <c r="F28" s="27"/>
      <c r="G28" s="28">
        <f>Data!B34</f>
      </c>
      <c r="H28" s="28"/>
      <c r="I28" s="1"/>
      <c r="J28" s="6" t="s">
        <v>16</v>
      </c>
      <c r="K28" s="6"/>
      <c r="L28" s="6"/>
      <c r="M28" s="6"/>
      <c r="N28" s="6"/>
      <c r="O28" s="6"/>
      <c r="P28" s="1"/>
      <c r="Q28" s="13"/>
      <c r="R28" s="14"/>
      <c r="S28" s="14"/>
      <c r="T28" s="14"/>
      <c r="U28" s="14"/>
      <c r="V28" s="14"/>
      <c r="W28" s="14"/>
      <c r="X28" s="14"/>
      <c r="Y28" s="14"/>
      <c r="Z28" s="15"/>
      <c r="AA28" s="1"/>
    </row>
    <row r="29" ht="16" customHeight="1" spans="1:27" x14ac:dyDescent="0.25">
      <c r="A29" s="1"/>
      <c r="B29" s="27">
        <f>Data!A35</f>
      </c>
      <c r="C29" s="27"/>
      <c r="D29" s="27"/>
      <c r="E29" s="27"/>
      <c r="F29" s="27"/>
      <c r="G29" s="28">
        <f>Data!B35</f>
      </c>
      <c r="H29" s="28"/>
      <c r="I29" s="1"/>
      <c r="J29" s="29" t="s">
        <v>17</v>
      </c>
      <c r="K29" s="29"/>
      <c r="L29" s="29"/>
      <c r="M29" s="29"/>
      <c r="N29" s="22">
        <f>Setup!$C$8&amp;TEXT('Vendors &amp; Real Cost'!$H$31,"#,##0")</f>
      </c>
      <c r="O29" s="22"/>
      <c r="P29" s="1"/>
      <c r="Q29" s="13"/>
      <c r="R29" s="14"/>
      <c r="S29" s="14"/>
      <c r="T29" s="14"/>
      <c r="U29" s="14"/>
      <c r="V29" s="14"/>
      <c r="W29" s="14"/>
      <c r="X29" s="14"/>
      <c r="Y29" s="14"/>
      <c r="Z29" s="15"/>
      <c r="AA29" s="1"/>
    </row>
    <row r="30" ht="16" customHeight="1" spans="1:27" x14ac:dyDescent="0.25">
      <c r="A30" s="1"/>
      <c r="B30" s="27">
        <f>Data!A36</f>
      </c>
      <c r="C30" s="27"/>
      <c r="D30" s="27"/>
      <c r="E30" s="27"/>
      <c r="F30" s="27"/>
      <c r="G30" s="28">
        <f>Data!B36</f>
      </c>
      <c r="H30" s="28"/>
      <c r="I30" s="1"/>
      <c r="J30" s="29" t="s">
        <v>18</v>
      </c>
      <c r="K30" s="29"/>
      <c r="L30" s="29"/>
      <c r="M30" s="29"/>
      <c r="N30" s="22">
        <f>Setup!$C$8&amp;TEXT(Data!B16,"#,##0")</f>
      </c>
      <c r="O30" s="22"/>
      <c r="P30" s="1"/>
      <c r="Q30" s="13"/>
      <c r="R30" s="14"/>
      <c r="S30" s="14"/>
      <c r="T30" s="14"/>
      <c r="U30" s="14"/>
      <c r="V30" s="14"/>
      <c r="W30" s="14"/>
      <c r="X30" s="14"/>
      <c r="Y30" s="14"/>
      <c r="Z30" s="15"/>
      <c r="AA30" s="1"/>
    </row>
    <row r="31" ht="16" customHeight="1" spans="1:27" x14ac:dyDescent="0.25">
      <c r="A31" s="1"/>
      <c r="B31" s="27">
        <f>Data!A37</f>
      </c>
      <c r="C31" s="27"/>
      <c r="D31" s="27"/>
      <c r="E31" s="27"/>
      <c r="F31" s="27"/>
      <c r="G31" s="28">
        <f>Data!B37</f>
      </c>
      <c r="H31" s="28"/>
      <c r="I31" s="1"/>
      <c r="J31" s="29" t="s">
        <v>19</v>
      </c>
      <c r="K31" s="29"/>
      <c r="L31" s="29"/>
      <c r="M31" s="29"/>
      <c r="N31" s="22">
        <f>Setup!$C$8&amp;TEXT(Data!B17,"#,##0")</f>
      </c>
      <c r="O31" s="22"/>
      <c r="P31" s="1"/>
      <c r="Q31" s="13"/>
      <c r="R31" s="14"/>
      <c r="S31" s="14"/>
      <c r="T31" s="14"/>
      <c r="U31" s="14"/>
      <c r="V31" s="14"/>
      <c r="W31" s="14"/>
      <c r="X31" s="14"/>
      <c r="Y31" s="14"/>
      <c r="Z31" s="15"/>
      <c r="AA31" s="1"/>
    </row>
    <row r="32" ht="16" customHeight="1" spans="1:27" x14ac:dyDescent="0.25">
      <c r="A32" s="1"/>
      <c r="B32" s="27">
        <f>Data!A38</f>
      </c>
      <c r="C32" s="27"/>
      <c r="D32" s="27"/>
      <c r="E32" s="27"/>
      <c r="F32" s="27"/>
      <c r="G32" s="28">
        <f>Data!B38</f>
      </c>
      <c r="H32" s="28"/>
      <c r="I32" s="1"/>
      <c r="J32" s="13"/>
      <c r="K32" s="14"/>
      <c r="L32" s="14"/>
      <c r="M32" s="14"/>
      <c r="N32" s="14"/>
      <c r="O32" s="15"/>
      <c r="P32" s="1"/>
      <c r="Q32" s="13"/>
      <c r="R32" s="14"/>
      <c r="S32" s="14"/>
      <c r="T32" s="14"/>
      <c r="U32" s="14"/>
      <c r="V32" s="14"/>
      <c r="W32" s="14"/>
      <c r="X32" s="14"/>
      <c r="Y32" s="14"/>
      <c r="Z32" s="15"/>
      <c r="AA32" s="1"/>
    </row>
    <row r="33" ht="16" customHeight="1" spans="1:27" x14ac:dyDescent="0.25">
      <c r="A33" s="1"/>
      <c r="B33" s="27">
        <f>Data!A39</f>
      </c>
      <c r="C33" s="27"/>
      <c r="D33" s="27"/>
      <c r="E33" s="27"/>
      <c r="F33" s="27"/>
      <c r="G33" s="28">
        <f>Data!B39</f>
      </c>
      <c r="H33" s="28"/>
      <c r="I33" s="1"/>
      <c r="J33" s="30" t="s">
        <v>20</v>
      </c>
      <c r="K33" s="30"/>
      <c r="L33" s="30"/>
      <c r="M33" s="30"/>
      <c r="N33" s="31">
        <f>Setup!$C$8&amp;TEXT(Data!B19,"#,##0")</f>
      </c>
      <c r="O33" s="31"/>
      <c r="P33" s="1"/>
      <c r="Q33" s="13"/>
      <c r="R33" s="14"/>
      <c r="S33" s="14"/>
      <c r="T33" s="14"/>
      <c r="U33" s="14"/>
      <c r="V33" s="14"/>
      <c r="W33" s="14"/>
      <c r="X33" s="14"/>
      <c r="Y33" s="14"/>
      <c r="Z33" s="15"/>
      <c r="AA33" s="1"/>
    </row>
    <row r="34" ht="16" customHeight="1" spans="1:27" x14ac:dyDescent="0.25">
      <c r="A34" s="1"/>
      <c r="B34" s="27">
        <f>Data!A40</f>
      </c>
      <c r="C34" s="27"/>
      <c r="D34" s="27"/>
      <c r="E34" s="27"/>
      <c r="F34" s="27"/>
      <c r="G34" s="28">
        <f>Data!B40</f>
      </c>
      <c r="H34" s="28"/>
      <c r="I34" s="1"/>
      <c r="J34" s="13"/>
      <c r="K34" s="14"/>
      <c r="L34" s="14"/>
      <c r="M34" s="14"/>
      <c r="N34" s="14"/>
      <c r="O34" s="15"/>
      <c r="P34" s="1"/>
      <c r="Q34" s="18"/>
      <c r="R34" s="19"/>
      <c r="S34" s="19"/>
      <c r="T34" s="19"/>
      <c r="U34" s="19"/>
      <c r="V34" s="19"/>
      <c r="W34" s="19"/>
      <c r="X34" s="19"/>
      <c r="Y34" s="19"/>
      <c r="Z34" s="20"/>
      <c r="AA34" s="1"/>
    </row>
    <row r="35" ht="16" customHeight="1" spans="1:27" x14ac:dyDescent="0.25">
      <c r="A35" s="1"/>
      <c r="B35" s="27">
        <f>Data!A41</f>
      </c>
      <c r="C35" s="27"/>
      <c r="D35" s="27"/>
      <c r="E35" s="27"/>
      <c r="F35" s="27"/>
      <c r="G35" s="28">
        <f>Data!B41</f>
      </c>
      <c r="H35" s="28"/>
      <c r="I35" s="1"/>
      <c r="J35" s="32">
        <f>"Quotes have moved by "&amp;Setup!$C$8&amp;TEXT(Data!B18,"#,##0")&amp;" since first asking"</f>
      </c>
      <c r="K35" s="32"/>
      <c r="L35" s="32"/>
      <c r="M35" s="32"/>
      <c r="N35" s="32"/>
      <c r="O35" s="32"/>
      <c r="P35" s="1"/>
      <c r="Q35" s="1"/>
      <c r="R35" s="1"/>
      <c r="S35" s="1"/>
      <c r="T35" s="1"/>
      <c r="U35" s="1"/>
      <c r="V35" s="1"/>
      <c r="W35" s="1"/>
      <c r="X35" s="1"/>
      <c r="Y35" s="1"/>
      <c r="Z35" s="1"/>
      <c r="AA35" s="1"/>
    </row>
    <row r="36" ht="17" customHeight="1" spans="1:27" x14ac:dyDescent="0.25">
      <c r="A36" s="1"/>
      <c r="B36" s="18"/>
      <c r="C36" s="19"/>
      <c r="D36" s="19"/>
      <c r="E36" s="19"/>
      <c r="F36" s="19"/>
      <c r="G36" s="19"/>
      <c r="H36" s="20"/>
      <c r="I36" s="1"/>
      <c r="J36" s="18"/>
      <c r="K36" s="19"/>
      <c r="L36" s="19"/>
      <c r="M36" s="19"/>
      <c r="N36" s="19"/>
      <c r="O36" s="20"/>
      <c r="P36" s="1"/>
      <c r="Q36" s="6" t="s">
        <v>21</v>
      </c>
      <c r="R36" s="6"/>
      <c r="S36" s="6"/>
      <c r="T36" s="6"/>
      <c r="U36" s="6"/>
      <c r="V36" s="6"/>
      <c r="W36" s="6"/>
      <c r="X36" s="6"/>
      <c r="Y36" s="6"/>
      <c r="Z36" s="6"/>
      <c r="AA36" s="1"/>
    </row>
    <row r="37" ht="16" customHeight="1" spans="1:27" x14ac:dyDescent="0.25">
      <c r="A37" s="1"/>
      <c r="B37" s="1"/>
      <c r="C37" s="1"/>
      <c r="D37" s="1"/>
      <c r="E37" s="1"/>
      <c r="F37" s="1"/>
      <c r="G37" s="1"/>
      <c r="H37" s="1"/>
      <c r="I37" s="1"/>
      <c r="J37" s="1"/>
      <c r="K37" s="1"/>
      <c r="L37" s="1"/>
      <c r="M37" s="1"/>
      <c r="N37" s="1"/>
      <c r="O37" s="1"/>
      <c r="P37" s="1"/>
      <c r="Q37" s="13"/>
      <c r="R37" s="14"/>
      <c r="S37" s="14"/>
      <c r="T37" s="14"/>
      <c r="U37" s="14"/>
      <c r="V37" s="14"/>
      <c r="W37" s="14"/>
      <c r="X37" s="14"/>
      <c r="Y37" s="14"/>
      <c r="Z37" s="15"/>
      <c r="AA37" s="1"/>
    </row>
    <row r="38" ht="17" customHeight="1" spans="1:27" x14ac:dyDescent="0.25">
      <c r="A38" s="1"/>
      <c r="B38" s="6" t="s">
        <v>22</v>
      </c>
      <c r="C38" s="6"/>
      <c r="D38" s="6"/>
      <c r="E38" s="6"/>
      <c r="F38" s="6"/>
      <c r="G38" s="6"/>
      <c r="H38" s="6"/>
      <c r="I38" s="1"/>
      <c r="J38" s="6" t="s">
        <v>23</v>
      </c>
      <c r="K38" s="6"/>
      <c r="L38" s="6"/>
      <c r="M38" s="6"/>
      <c r="N38" s="6"/>
      <c r="O38" s="6"/>
      <c r="P38" s="1"/>
      <c r="Q38" s="13"/>
      <c r="R38" s="14"/>
      <c r="S38" s="14"/>
      <c r="T38" s="14"/>
      <c r="U38" s="14"/>
      <c r="V38" s="14"/>
      <c r="W38" s="14"/>
      <c r="X38" s="14"/>
      <c r="Y38" s="14"/>
      <c r="Z38" s="15"/>
      <c r="AA38" s="1"/>
    </row>
    <row r="39" ht="16" customHeight="1" spans="1:27" x14ac:dyDescent="0.25">
      <c r="A39" s="1"/>
      <c r="B39" s="13"/>
      <c r="C39" s="14"/>
      <c r="D39" s="14"/>
      <c r="E39" s="14"/>
      <c r="F39" s="14"/>
      <c r="G39" s="14"/>
      <c r="H39" s="15"/>
      <c r="I39" s="1"/>
      <c r="J39" s="13"/>
      <c r="K39" s="14"/>
      <c r="L39" s="14"/>
      <c r="M39" s="14"/>
      <c r="N39" s="14"/>
      <c r="O39" s="15"/>
      <c r="P39" s="1"/>
      <c r="Q39" s="13"/>
      <c r="R39" s="14"/>
      <c r="S39" s="14"/>
      <c r="T39" s="14"/>
      <c r="U39" s="14"/>
      <c r="V39" s="14"/>
      <c r="W39" s="14"/>
      <c r="X39" s="14"/>
      <c r="Y39" s="14"/>
      <c r="Z39" s="15"/>
      <c r="AA39" s="1"/>
    </row>
    <row r="40" ht="16" customHeight="1" spans="1:27" x14ac:dyDescent="0.25">
      <c r="A40" s="1"/>
      <c r="B40" s="13"/>
      <c r="C40" s="14"/>
      <c r="D40" s="14"/>
      <c r="E40" s="14"/>
      <c r="F40" s="14"/>
      <c r="G40" s="14"/>
      <c r="H40" s="15"/>
      <c r="I40" s="1"/>
      <c r="J40" s="13"/>
      <c r="K40" s="14"/>
      <c r="L40" s="14"/>
      <c r="M40" s="14"/>
      <c r="N40" s="14"/>
      <c r="O40" s="15"/>
      <c r="P40" s="1"/>
      <c r="Q40" s="13"/>
      <c r="R40" s="14"/>
      <c r="S40" s="14"/>
      <c r="T40" s="14"/>
      <c r="U40" s="14"/>
      <c r="V40" s="14"/>
      <c r="W40" s="14"/>
      <c r="X40" s="14"/>
      <c r="Y40" s="14"/>
      <c r="Z40" s="15"/>
      <c r="AA40" s="1"/>
    </row>
    <row r="41" ht="16" customHeight="1" spans="1:27" x14ac:dyDescent="0.25">
      <c r="A41" s="1"/>
      <c r="B41" s="13"/>
      <c r="C41" s="14"/>
      <c r="D41" s="14"/>
      <c r="E41" s="14"/>
      <c r="F41" s="14"/>
      <c r="G41" s="14"/>
      <c r="H41" s="15"/>
      <c r="I41" s="1"/>
      <c r="J41" s="13"/>
      <c r="K41" s="14"/>
      <c r="L41" s="14"/>
      <c r="M41" s="14"/>
      <c r="N41" s="14"/>
      <c r="O41" s="15"/>
      <c r="P41" s="1"/>
      <c r="Q41" s="13"/>
      <c r="R41" s="14"/>
      <c r="S41" s="14"/>
      <c r="T41" s="14"/>
      <c r="U41" s="14"/>
      <c r="V41" s="14"/>
      <c r="W41" s="14"/>
      <c r="X41" s="14"/>
      <c r="Y41" s="14"/>
      <c r="Z41" s="15"/>
      <c r="AA41" s="1"/>
    </row>
    <row r="42" ht="16" customHeight="1" spans="1:27" x14ac:dyDescent="0.25">
      <c r="A42" s="1"/>
      <c r="B42" s="13"/>
      <c r="C42" s="14"/>
      <c r="D42" s="14"/>
      <c r="E42" s="14"/>
      <c r="F42" s="14"/>
      <c r="G42" s="14"/>
      <c r="H42" s="15"/>
      <c r="I42" s="1"/>
      <c r="J42" s="13"/>
      <c r="K42" s="14"/>
      <c r="L42" s="14"/>
      <c r="M42" s="14"/>
      <c r="N42" s="14"/>
      <c r="O42" s="15"/>
      <c r="P42" s="1"/>
      <c r="Q42" s="13"/>
      <c r="R42" s="14"/>
      <c r="S42" s="14"/>
      <c r="T42" s="14"/>
      <c r="U42" s="14"/>
      <c r="V42" s="14"/>
      <c r="W42" s="14"/>
      <c r="X42" s="14"/>
      <c r="Y42" s="14"/>
      <c r="Z42" s="15"/>
      <c r="AA42" s="1"/>
    </row>
    <row r="43" ht="16" customHeight="1" spans="1:27" x14ac:dyDescent="0.25">
      <c r="A43" s="1"/>
      <c r="B43" s="13"/>
      <c r="C43" s="14"/>
      <c r="D43" s="14"/>
      <c r="E43" s="14"/>
      <c r="F43" s="14"/>
      <c r="G43" s="14"/>
      <c r="H43" s="15"/>
      <c r="I43" s="1"/>
      <c r="J43" s="13"/>
      <c r="K43" s="14"/>
      <c r="L43" s="14"/>
      <c r="M43" s="14"/>
      <c r="N43" s="14"/>
      <c r="O43" s="15"/>
      <c r="P43" s="1"/>
      <c r="Q43" s="13"/>
      <c r="R43" s="14"/>
      <c r="S43" s="14"/>
      <c r="T43" s="14"/>
      <c r="U43" s="14"/>
      <c r="V43" s="14"/>
      <c r="W43" s="14"/>
      <c r="X43" s="14"/>
      <c r="Y43" s="14"/>
      <c r="Z43" s="15"/>
      <c r="AA43" s="1"/>
    </row>
    <row r="44" ht="16" customHeight="1" spans="1:27" x14ac:dyDescent="0.25">
      <c r="A44" s="1"/>
      <c r="B44" s="13"/>
      <c r="C44" s="14"/>
      <c r="D44" s="14"/>
      <c r="E44" s="14"/>
      <c r="F44" s="14"/>
      <c r="G44" s="14"/>
      <c r="H44" s="15"/>
      <c r="I44" s="1"/>
      <c r="J44" s="13"/>
      <c r="K44" s="14"/>
      <c r="L44" s="14"/>
      <c r="M44" s="14"/>
      <c r="N44" s="14"/>
      <c r="O44" s="15"/>
      <c r="P44" s="1"/>
      <c r="Q44" s="13"/>
      <c r="R44" s="14"/>
      <c r="S44" s="14"/>
      <c r="T44" s="14"/>
      <c r="U44" s="14"/>
      <c r="V44" s="14"/>
      <c r="W44" s="14"/>
      <c r="X44" s="14"/>
      <c r="Y44" s="14"/>
      <c r="Z44" s="15"/>
      <c r="AA44" s="1"/>
    </row>
    <row r="45" ht="16" customHeight="1" spans="1:27" x14ac:dyDescent="0.25">
      <c r="A45" s="1"/>
      <c r="B45" s="13"/>
      <c r="C45" s="14"/>
      <c r="D45" s="14"/>
      <c r="E45" s="14"/>
      <c r="F45" s="14"/>
      <c r="G45" s="14"/>
      <c r="H45" s="15"/>
      <c r="I45" s="1"/>
      <c r="J45" s="13"/>
      <c r="K45" s="14"/>
      <c r="L45" s="14"/>
      <c r="M45" s="14"/>
      <c r="N45" s="14"/>
      <c r="O45" s="15"/>
      <c r="P45" s="1"/>
      <c r="Q45" s="13"/>
      <c r="R45" s="14"/>
      <c r="S45" s="14"/>
      <c r="T45" s="14"/>
      <c r="U45" s="14"/>
      <c r="V45" s="14"/>
      <c r="W45" s="14"/>
      <c r="X45" s="14"/>
      <c r="Y45" s="14"/>
      <c r="Z45" s="15"/>
      <c r="AA45" s="1"/>
    </row>
    <row r="46" ht="16" customHeight="1" spans="1:27" x14ac:dyDescent="0.25">
      <c r="A46" s="1"/>
      <c r="B46" s="13"/>
      <c r="C46" s="14"/>
      <c r="D46" s="14"/>
      <c r="E46" s="14"/>
      <c r="F46" s="14"/>
      <c r="G46" s="14"/>
      <c r="H46" s="15"/>
      <c r="I46" s="1"/>
      <c r="J46" s="13"/>
      <c r="K46" s="14"/>
      <c r="L46" s="14"/>
      <c r="M46" s="14"/>
      <c r="N46" s="14"/>
      <c r="O46" s="15"/>
      <c r="P46" s="1"/>
      <c r="Q46" s="13"/>
      <c r="R46" s="14"/>
      <c r="S46" s="14"/>
      <c r="T46" s="14"/>
      <c r="U46" s="14"/>
      <c r="V46" s="14"/>
      <c r="W46" s="14"/>
      <c r="X46" s="14"/>
      <c r="Y46" s="14"/>
      <c r="Z46" s="15"/>
      <c r="AA46" s="1"/>
    </row>
    <row r="47" ht="16" customHeight="1" spans="1:27" x14ac:dyDescent="0.25">
      <c r="A47" s="1"/>
      <c r="B47" s="13"/>
      <c r="C47" s="14"/>
      <c r="D47" s="14"/>
      <c r="E47" s="14"/>
      <c r="F47" s="14"/>
      <c r="G47" s="14"/>
      <c r="H47" s="15"/>
      <c r="I47" s="1"/>
      <c r="J47" s="13"/>
      <c r="K47" s="14"/>
      <c r="L47" s="14"/>
      <c r="M47" s="14"/>
      <c r="N47" s="14"/>
      <c r="O47" s="15"/>
      <c r="P47" s="1"/>
      <c r="Q47" s="13"/>
      <c r="R47" s="14"/>
      <c r="S47" s="14"/>
      <c r="T47" s="14"/>
      <c r="U47" s="14"/>
      <c r="V47" s="14"/>
      <c r="W47" s="14"/>
      <c r="X47" s="14"/>
      <c r="Y47" s="14"/>
      <c r="Z47" s="15"/>
      <c r="AA47" s="1"/>
    </row>
    <row r="48" ht="16" customHeight="1" spans="1:27" x14ac:dyDescent="0.25">
      <c r="A48" s="1"/>
      <c r="B48" s="13"/>
      <c r="C48" s="14"/>
      <c r="D48" s="14"/>
      <c r="E48" s="14"/>
      <c r="F48" s="14"/>
      <c r="G48" s="14"/>
      <c r="H48" s="15"/>
      <c r="I48" s="1"/>
      <c r="J48" s="13"/>
      <c r="K48" s="14"/>
      <c r="L48" s="14"/>
      <c r="M48" s="14"/>
      <c r="N48" s="14"/>
      <c r="O48" s="15"/>
      <c r="P48" s="1"/>
      <c r="Q48" s="13"/>
      <c r="R48" s="14"/>
      <c r="S48" s="14"/>
      <c r="T48" s="14"/>
      <c r="U48" s="14"/>
      <c r="V48" s="14"/>
      <c r="W48" s="14"/>
      <c r="X48" s="14"/>
      <c r="Y48" s="14"/>
      <c r="Z48" s="15"/>
      <c r="AA48" s="1"/>
    </row>
    <row r="49" ht="16" customHeight="1" spans="1:27" x14ac:dyDescent="0.25">
      <c r="A49" s="1"/>
      <c r="B49" s="13"/>
      <c r="C49" s="14"/>
      <c r="D49" s="14"/>
      <c r="E49" s="14"/>
      <c r="F49" s="14"/>
      <c r="G49" s="14"/>
      <c r="H49" s="15"/>
      <c r="I49" s="1"/>
      <c r="J49" s="13"/>
      <c r="K49" s="14"/>
      <c r="L49" s="14"/>
      <c r="M49" s="14"/>
      <c r="N49" s="14"/>
      <c r="O49" s="15"/>
      <c r="P49" s="1"/>
      <c r="Q49" s="13"/>
      <c r="R49" s="14"/>
      <c r="S49" s="14"/>
      <c r="T49" s="14"/>
      <c r="U49" s="14"/>
      <c r="V49" s="14"/>
      <c r="W49" s="14"/>
      <c r="X49" s="14"/>
      <c r="Y49" s="14"/>
      <c r="Z49" s="15"/>
      <c r="AA49" s="1"/>
    </row>
    <row r="50" ht="16" customHeight="1" spans="1:27" x14ac:dyDescent="0.25">
      <c r="A50" s="1"/>
      <c r="B50" s="18"/>
      <c r="C50" s="19"/>
      <c r="D50" s="19"/>
      <c r="E50" s="19"/>
      <c r="F50" s="19"/>
      <c r="G50" s="19"/>
      <c r="H50" s="20"/>
      <c r="I50" s="1"/>
      <c r="J50" s="18"/>
      <c r="K50" s="19"/>
      <c r="L50" s="19"/>
      <c r="M50" s="19"/>
      <c r="N50" s="19"/>
      <c r="O50" s="20"/>
      <c r="P50" s="1"/>
      <c r="Q50" s="18"/>
      <c r="R50" s="19"/>
      <c r="S50" s="19"/>
      <c r="T50" s="19"/>
      <c r="U50" s="19"/>
      <c r="V50" s="19"/>
      <c r="W50" s="19"/>
      <c r="X50" s="19"/>
      <c r="Y50" s="19"/>
      <c r="Z50" s="20"/>
      <c r="AA50" s="1"/>
    </row>
    <row r="51" ht="16" customHeight="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ht="16" customHeight="1" spans="1:27" x14ac:dyDescent="0.25">
      <c r="A52" s="1"/>
      <c r="B52" s="33" t="s">
        <v>24</v>
      </c>
      <c r="C52" s="1"/>
      <c r="D52" s="1"/>
      <c r="E52" s="1"/>
      <c r="F52" s="1"/>
      <c r="G52" s="1"/>
      <c r="H52" s="1"/>
      <c r="I52" s="1"/>
      <c r="J52" s="1"/>
      <c r="K52" s="1"/>
      <c r="L52" s="1"/>
      <c r="M52" s="1"/>
      <c r="N52" s="1"/>
      <c r="O52" s="1"/>
      <c r="P52" s="1"/>
      <c r="Q52" s="1"/>
      <c r="R52" s="1"/>
      <c r="S52" s="1"/>
      <c r="T52" s="1"/>
      <c r="U52" s="1"/>
      <c r="V52" s="1"/>
      <c r="W52" s="1"/>
      <c r="X52" s="1"/>
      <c r="Y52" s="1"/>
      <c r="Z52" s="1"/>
      <c r="AA52" s="1"/>
    </row>
  </sheetData>
  <mergeCells count="92">
    <mergeCell ref="B2:Z2"/>
    <mergeCell ref="B3:Z3"/>
    <mergeCell ref="B5:H5"/>
    <mergeCell ref="J5:O5"/>
    <mergeCell ref="Q5:U5"/>
    <mergeCell ref="W5:Z5"/>
    <mergeCell ref="B6:H8"/>
    <mergeCell ref="J6:O8"/>
    <mergeCell ref="Q6:U8"/>
    <mergeCell ref="W6:Z8"/>
    <mergeCell ref="B10:H10"/>
    <mergeCell ref="J10:O10"/>
    <mergeCell ref="Q10:U10"/>
    <mergeCell ref="W10:Z10"/>
    <mergeCell ref="B11:H11"/>
    <mergeCell ref="J11:K11"/>
    <mergeCell ref="L11:O11"/>
    <mergeCell ref="B12:H13"/>
    <mergeCell ref="J12:K12"/>
    <mergeCell ref="L12:O12"/>
    <mergeCell ref="J13:K13"/>
    <mergeCell ref="L13:O13"/>
    <mergeCell ref="B14:H14"/>
    <mergeCell ref="J14:K14"/>
    <mergeCell ref="L14:O14"/>
    <mergeCell ref="B15:H16"/>
    <mergeCell ref="J15:K15"/>
    <mergeCell ref="L15:O15"/>
    <mergeCell ref="J16:K16"/>
    <mergeCell ref="L16:O16"/>
    <mergeCell ref="B18:H18"/>
    <mergeCell ref="Q18:U18"/>
    <mergeCell ref="W18:Z18"/>
    <mergeCell ref="B19:C19"/>
    <mergeCell ref="D19:F19"/>
    <mergeCell ref="G19:H19"/>
    <mergeCell ref="J19:O19"/>
    <mergeCell ref="B20:C20"/>
    <mergeCell ref="D20:F20"/>
    <mergeCell ref="G20:H20"/>
    <mergeCell ref="J20:L20"/>
    <mergeCell ref="M20:O20"/>
    <mergeCell ref="Q20:Z20"/>
    <mergeCell ref="B21:C21"/>
    <mergeCell ref="D21:F21"/>
    <mergeCell ref="G21:H21"/>
    <mergeCell ref="J21:L22"/>
    <mergeCell ref="M21:O22"/>
    <mergeCell ref="B22:C22"/>
    <mergeCell ref="D22:F22"/>
    <mergeCell ref="G22:H22"/>
    <mergeCell ref="B23:C23"/>
    <mergeCell ref="D23:F23"/>
    <mergeCell ref="G23:H23"/>
    <mergeCell ref="J23:L23"/>
    <mergeCell ref="M23:O23"/>
    <mergeCell ref="B24:C24"/>
    <mergeCell ref="D24:F24"/>
    <mergeCell ref="G24:H24"/>
    <mergeCell ref="J24:L25"/>
    <mergeCell ref="M24:O25"/>
    <mergeCell ref="J26:O26"/>
    <mergeCell ref="B27:H27"/>
    <mergeCell ref="B28:F28"/>
    <mergeCell ref="G28:H28"/>
    <mergeCell ref="J28:O28"/>
    <mergeCell ref="B29:F29"/>
    <mergeCell ref="G29:H29"/>
    <mergeCell ref="J29:M29"/>
    <mergeCell ref="N29:O29"/>
    <mergeCell ref="B30:F30"/>
    <mergeCell ref="G30:H30"/>
    <mergeCell ref="J30:M30"/>
    <mergeCell ref="N30:O30"/>
    <mergeCell ref="B31:F31"/>
    <mergeCell ref="G31:H31"/>
    <mergeCell ref="J31:M31"/>
    <mergeCell ref="N31:O31"/>
    <mergeCell ref="B32:F32"/>
    <mergeCell ref="G32:H32"/>
    <mergeCell ref="B33:F33"/>
    <mergeCell ref="G33:H33"/>
    <mergeCell ref="J33:M33"/>
    <mergeCell ref="N33:O33"/>
    <mergeCell ref="B34:F34"/>
    <mergeCell ref="G34:H34"/>
    <mergeCell ref="B35:F35"/>
    <mergeCell ref="G35:H35"/>
    <mergeCell ref="J35:O35"/>
    <mergeCell ref="Q36:Z36"/>
    <mergeCell ref="B38:H38"/>
    <mergeCell ref="J38:O38"/>
  </mergeCells>
  <conditionalFormatting sqref="B19:H24">
    <cfRule type="expression" dxfId="0" priority="1">
      <formula>AND($B19&lt;&gt;"",$B19&lt;TODAY())</formula>
    </cfRule>
  </conditionalFormatting>
  <conditionalFormatting sqref="J11:O16">
    <cfRule type="expression" dxfId="1" priority="1">
      <formula>AND($J11&lt;&gt;"",$J11&lt;TODAY())</formula>
    </cfRule>
  </conditionalFormatting>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Dashboard</vt:lpstr>
      <vt:lpstr>Start Here</vt:lpstr>
      <vt:lpstr>Setup</vt:lpstr>
      <vt:lpstr>Vendors &amp; Real Cost</vt:lpstr>
      <vt:lpstr>Contacts</vt:lpstr>
      <vt:lpstr>Payment Schedule</vt:lpstr>
      <vt:lpstr>Quote Tracker</vt:lpstr>
      <vt:lpstr>Hidden Costs</vt:lpstr>
      <vt:lpstr>Budget</vt:lpstr>
      <vt:lpstr>Guest List</vt:lpstr>
      <vt:lpstr>Seating Plan</vt:lpstr>
      <vt:lpstr>Wedding Party</vt:lpstr>
      <vt:lpstr>Checklist</vt:lpstr>
      <vt:lpstr>Calendar</vt:lpstr>
      <vt:lpstr>Itinerary</vt:lpstr>
      <vt:lpstr>Menu &amp; Drinks</vt:lpstr>
      <vt:lpstr>Music &amp; Moments</vt:lpstr>
      <vt:lpstr>Attire &amp; Fittings</vt:lpstr>
      <vt:lpstr>Beauty &amp; Wellness</vt:lpstr>
      <vt:lpstr>Décor &amp; Flowers</vt:lpstr>
      <vt:lpstr>Stationery &amp; Signage</vt:lpstr>
      <vt:lpstr>Comparison</vt:lpstr>
      <vt:lpstr>Photo Shot List</vt:lpstr>
      <vt:lpstr>Vows &amp; Speeches</vt:lpstr>
      <vt:lpstr>Emergency Kit</vt:lpstr>
      <vt:lpstr>Rehearsal Dinner</vt:lpstr>
      <vt:lpstr>Registry</vt:lpstr>
      <vt:lpstr>Gifts &amp; Thank-yous</vt:lpstr>
      <vt:lpstr>Honeymoon</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Anchit Labs</dc:creator>
  <dc:title/>
  <dc:subject/>
  <dc:description/>
  <cp:keywords/>
  <cp:category/>
  <cp:lastModifiedBy>Unknown</cp:lastModifiedBy>
  <dcterms:created xsi:type="dcterms:W3CDTF">2026-09-25T20:57:45Z</dcterms:created>
  <dcterms:modified xsi:type="dcterms:W3CDTF">2026-09-25T20:57:45Z</dcterms:modified>
</cp:coreProperties>
</file>